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r\Downloads\"/>
    </mc:Choice>
  </mc:AlternateContent>
  <bookViews>
    <workbookView xWindow="0" yWindow="15" windowWidth="20115" windowHeight="10635"/>
  </bookViews>
  <sheets>
    <sheet name="výpočet" sheetId="7" r:id="rId1"/>
    <sheet name="výpočet - k tisku" sheetId="9" r:id="rId2"/>
    <sheet name="DPB s POT" sheetId="10" r:id="rId3"/>
  </sheets>
  <definedNames>
    <definedName name="_xlnm.Print_Area" localSheetId="2">'DPB s POT'!$B$1:$K$28</definedName>
    <definedName name="_xlnm.Print_Area" localSheetId="0">výpočet!$B$1:$G$55</definedName>
    <definedName name="_xlnm.Print_Area" localSheetId="1">'výpočet - k tisku'!$B$1:$G$68</definedName>
  </definedNames>
  <calcPr calcId="162913"/>
</workbook>
</file>

<file path=xl/calcChain.xml><?xml version="1.0" encoding="utf-8"?>
<calcChain xmlns="http://schemas.openxmlformats.org/spreadsheetml/2006/main">
  <c r="F56" i="9" l="1"/>
  <c r="Q41" i="7" l="1"/>
  <c r="Q42" i="7"/>
  <c r="Q43" i="7"/>
  <c r="Q44" i="7"/>
  <c r="Q45" i="7"/>
  <c r="Q46" i="7"/>
  <c r="Q47" i="7"/>
  <c r="Q48" i="7"/>
  <c r="Q49" i="7"/>
  <c r="Q50" i="7"/>
  <c r="Q5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21" i="7"/>
  <c r="R47" i="7" l="1"/>
  <c r="L47" i="7"/>
  <c r="F33" i="10" l="1"/>
  <c r="D21" i="9" l="1"/>
  <c r="D19" i="9"/>
  <c r="D20" i="9"/>
  <c r="D18" i="9"/>
  <c r="D41" i="9"/>
  <c r="D42" i="9"/>
  <c r="D43" i="9"/>
  <c r="D39" i="9"/>
  <c r="D40" i="9"/>
  <c r="D35" i="9"/>
  <c r="D36" i="9"/>
  <c r="D37" i="9"/>
  <c r="D38" i="9"/>
  <c r="D32" i="9"/>
  <c r="D33" i="9"/>
  <c r="D34" i="9"/>
  <c r="D29" i="9"/>
  <c r="D30" i="9"/>
  <c r="D31" i="9"/>
  <c r="D28" i="9"/>
  <c r="E41" i="9"/>
  <c r="E42" i="9"/>
  <c r="E43" i="9"/>
  <c r="E38" i="9"/>
  <c r="E39" i="9"/>
  <c r="E40" i="9"/>
  <c r="E35" i="9"/>
  <c r="E36" i="9"/>
  <c r="E37" i="9"/>
  <c r="E32" i="9"/>
  <c r="E33" i="9"/>
  <c r="E34" i="9"/>
  <c r="E29" i="9"/>
  <c r="E30" i="9"/>
  <c r="E31" i="9"/>
  <c r="E28" i="9"/>
  <c r="E58" i="9"/>
  <c r="E55" i="9"/>
  <c r="E56" i="9"/>
  <c r="E57" i="9"/>
  <c r="E52" i="9"/>
  <c r="E53" i="9"/>
  <c r="E54" i="9"/>
  <c r="E49" i="9"/>
  <c r="E50" i="9"/>
  <c r="E51" i="9"/>
  <c r="E48" i="9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21" i="7"/>
  <c r="L41" i="7"/>
  <c r="L42" i="7"/>
  <c r="L43" i="7"/>
  <c r="L44" i="7"/>
  <c r="L45" i="7"/>
  <c r="L46" i="7"/>
  <c r="L48" i="7"/>
  <c r="L49" i="7"/>
  <c r="L50" i="7"/>
  <c r="L51" i="7"/>
  <c r="L40" i="7"/>
  <c r="C10" i="7" l="1"/>
  <c r="P8" i="7" s="1"/>
  <c r="G33" i="10" l="1"/>
  <c r="F49" i="9"/>
  <c r="G49" i="9" s="1"/>
  <c r="F50" i="9"/>
  <c r="G50" i="9" s="1"/>
  <c r="F51" i="9"/>
  <c r="G51" i="9" s="1"/>
  <c r="F52" i="9"/>
  <c r="G52" i="9" s="1"/>
  <c r="F53" i="9"/>
  <c r="G53" i="9" s="1"/>
  <c r="F54" i="9"/>
  <c r="G54" i="9" s="1"/>
  <c r="F55" i="9"/>
  <c r="G55" i="9" s="1"/>
  <c r="G56" i="9"/>
  <c r="F57" i="9"/>
  <c r="G57" i="9" s="1"/>
  <c r="F58" i="9"/>
  <c r="G58" i="9" s="1"/>
  <c r="F48" i="9"/>
  <c r="G48" i="9" s="1"/>
  <c r="F29" i="9"/>
  <c r="G29" i="9" s="1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36" i="9"/>
  <c r="G36" i="9" s="1"/>
  <c r="F37" i="9"/>
  <c r="G37" i="9" s="1"/>
  <c r="F38" i="9"/>
  <c r="G38" i="9" s="1"/>
  <c r="F39" i="9"/>
  <c r="G39" i="9" s="1"/>
  <c r="F40" i="9"/>
  <c r="G40" i="9" s="1"/>
  <c r="F41" i="9"/>
  <c r="G41" i="9" s="1"/>
  <c r="F42" i="9"/>
  <c r="G42" i="9" s="1"/>
  <c r="F43" i="9"/>
  <c r="G43" i="9" s="1"/>
  <c r="F28" i="9"/>
  <c r="G28" i="9" s="1"/>
  <c r="E19" i="9"/>
  <c r="F19" i="9" s="1"/>
  <c r="E20" i="9"/>
  <c r="F20" i="9" s="1"/>
  <c r="E21" i="9"/>
  <c r="F21" i="9" s="1"/>
  <c r="E18" i="9"/>
  <c r="F18" i="9" s="1"/>
  <c r="E12" i="9"/>
  <c r="E10" i="9"/>
  <c r="E9" i="9"/>
  <c r="C4" i="9"/>
  <c r="G28" i="10"/>
  <c r="H28" i="10"/>
  <c r="I28" i="10"/>
  <c r="F28" i="10"/>
  <c r="F32" i="10" s="1"/>
  <c r="E11" i="9" l="1"/>
  <c r="G32" i="10"/>
  <c r="G34" i="10" s="1"/>
  <c r="G35" i="10" s="1"/>
  <c r="F34" i="10"/>
  <c r="B35" i="10" s="1"/>
  <c r="G59" i="9"/>
  <c r="G44" i="9"/>
  <c r="F22" i="9"/>
  <c r="F63" i="9" l="1"/>
  <c r="P27" i="7" l="1"/>
  <c r="P28" i="7"/>
  <c r="P29" i="7"/>
  <c r="P30" i="7"/>
  <c r="P31" i="7"/>
  <c r="P32" i="7"/>
  <c r="P33" i="7"/>
  <c r="P34" i="7"/>
  <c r="P35" i="7"/>
  <c r="P36" i="7"/>
  <c r="P26" i="7"/>
  <c r="P21" i="7"/>
  <c r="P22" i="7"/>
  <c r="P23" i="7"/>
  <c r="P24" i="7"/>
  <c r="R1" i="7"/>
  <c r="Q1" i="7"/>
  <c r="F13" i="9" l="1"/>
  <c r="F14" i="9" l="1"/>
  <c r="F23" i="9" s="1"/>
  <c r="R51" i="7"/>
  <c r="R50" i="7"/>
  <c r="R49" i="7"/>
  <c r="R48" i="7"/>
  <c r="R46" i="7"/>
  <c r="R45" i="7"/>
  <c r="R44" i="7"/>
  <c r="R43" i="7"/>
  <c r="R42" i="7"/>
  <c r="R41" i="7"/>
  <c r="Q40" i="7"/>
  <c r="R40" i="7" s="1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N17" i="7"/>
  <c r="P17" i="7" s="1"/>
  <c r="Q17" i="7"/>
  <c r="R17" i="7" s="1"/>
  <c r="N16" i="7"/>
  <c r="P16" i="7" s="1"/>
  <c r="Q16" i="7"/>
  <c r="R16" i="7" s="1"/>
  <c r="N15" i="7"/>
  <c r="P15" i="7" s="1"/>
  <c r="Q15" i="7"/>
  <c r="R15" i="7" s="1"/>
  <c r="N14" i="7"/>
  <c r="P14" i="7" s="1"/>
  <c r="Q14" i="7"/>
  <c r="R14" i="7" s="1"/>
  <c r="F24" i="9" l="1"/>
  <c r="F64" i="9" s="1"/>
  <c r="F65" i="9" s="1"/>
  <c r="P18" i="7"/>
  <c r="R37" i="7"/>
  <c r="R52" i="7"/>
  <c r="Q8" i="7"/>
  <c r="Q52" i="7"/>
  <c r="Q37" i="7"/>
  <c r="P9" i="7" l="1"/>
  <c r="P1" i="7" s="1"/>
  <c r="F4" i="7" s="1"/>
  <c r="R8" i="7"/>
  <c r="Q18" i="7"/>
  <c r="R54" i="7"/>
  <c r="Q54" i="7"/>
  <c r="P54" i="7" s="1"/>
  <c r="R18" i="7" l="1"/>
  <c r="R9" i="7" s="1"/>
  <c r="Q9" i="7"/>
  <c r="P2" i="7"/>
  <c r="F5" i="7" s="1"/>
  <c r="F7" i="7" s="1"/>
  <c r="R2" i="7"/>
  <c r="G7" i="7" l="1"/>
  <c r="G4" i="7"/>
  <c r="G5" i="7"/>
  <c r="R55" i="7"/>
  <c r="C5" i="7" s="1"/>
  <c r="Q2" i="7"/>
  <c r="P4" i="7"/>
  <c r="C4" i="7" s="1"/>
  <c r="Q55" i="7"/>
  <c r="P55" i="7" s="1"/>
  <c r="F8" i="7" l="1"/>
  <c r="G9" i="7" l="1"/>
  <c r="F66" i="9" s="1"/>
  <c r="G65" i="9" s="1"/>
  <c r="C18" i="7"/>
  <c r="C37" i="7"/>
  <c r="B37" i="7"/>
  <c r="B18" i="7"/>
  <c r="G8" i="7"/>
</calcChain>
</file>

<file path=xl/sharedStrings.xml><?xml version="1.0" encoding="utf-8"?>
<sst xmlns="http://schemas.openxmlformats.org/spreadsheetml/2006/main" count="222" uniqueCount="179">
  <si>
    <t>Drůbeží trus sušený</t>
  </si>
  <si>
    <t>Drůbeží trus s podestýlkou</t>
  </si>
  <si>
    <t>Drůbeží trus uleželý</t>
  </si>
  <si>
    <t>Kejda skotu</t>
  </si>
  <si>
    <t>Fugát kejdy skotu</t>
  </si>
  <si>
    <t>Kejda prasat</t>
  </si>
  <si>
    <t>Fugát kejdy prasat</t>
  </si>
  <si>
    <t>Digestát</t>
  </si>
  <si>
    <t>Fugát digestátu</t>
  </si>
  <si>
    <t>Výpalky melasové zahuštěné</t>
  </si>
  <si>
    <t>Výpalky lihovarnické</t>
  </si>
  <si>
    <t>Upravený kal (ve 100% sušině)</t>
  </si>
  <si>
    <t>Separát digestátu, tuhý digestát</t>
  </si>
  <si>
    <t xml:space="preserve">Hnůj, separát kejdy </t>
  </si>
  <si>
    <t>...při směrné dávce (t/ha)</t>
  </si>
  <si>
    <t>Výměra (ha)</t>
  </si>
  <si>
    <t>Zapravení nesklizeného posledního obrostu víceletých pícnin</t>
  </si>
  <si>
    <t>Meziplodiny (nad 8 týdnů) pěstované současně s hlavní plodinou</t>
  </si>
  <si>
    <t>Přímé setí do nezpracované půdy, meziplodin nebo rostlinných zbytků</t>
  </si>
  <si>
    <t>Kompost s poměrem C:N 10 a vyšším</t>
  </si>
  <si>
    <t>Meziplodiny – současně s hlavní plodinou</t>
  </si>
  <si>
    <t xml:space="preserve">Přímé setí </t>
  </si>
  <si>
    <t>Souhrn opatření – přepočtená plocha (%, ha)</t>
  </si>
  <si>
    <t>Celkem – hnojení</t>
  </si>
  <si>
    <t>Celkem – další opatření</t>
  </si>
  <si>
    <t>Korekce potřeby opatření podle plodin (%, ha)</t>
  </si>
  <si>
    <t xml:space="preserve">Strip-till </t>
  </si>
  <si>
    <t>Bilance organické hmoty:</t>
  </si>
  <si>
    <t>Podíl plodin (%)</t>
  </si>
  <si>
    <t>Spotřeba (t)</t>
  </si>
  <si>
    <t>Základní potřeba, před korekcí na plodiny (%, ha):</t>
  </si>
  <si>
    <t>Výsledný rozsah potřebných opatření, po korekci na plodiny (%, ha):</t>
  </si>
  <si>
    <t>Koef. (na 1 ha)</t>
  </si>
  <si>
    <t>Obsah sušiny dle vyhl.</t>
  </si>
  <si>
    <t>Přepočt. plocha (ha)</t>
  </si>
  <si>
    <r>
      <t>Kukuřice, zelenina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</si>
  <si>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 xml:space="preserve">Potřeba provedení vhodných opatření </t>
  </si>
  <si>
    <t xml:space="preserve">Okopaniny, kukuřice a zelenina zvyšují rozsah potřebných opatření, naopak víceleté pícniny rozsah opatření snižují. </t>
  </si>
  <si>
    <t>Plocha i OL jsou přepočteny na efekt hnoje v dávce 30 t/ha</t>
  </si>
  <si>
    <t>Potřeba:</t>
  </si>
  <si>
    <t>Plnění:</t>
  </si>
  <si>
    <t>Podrobnosti k výpočtu:</t>
  </si>
  <si>
    <t>Obchodní  závod</t>
  </si>
  <si>
    <t>Hospodářský rok</t>
  </si>
  <si>
    <t>Tabulka č. 1 Základní údaje</t>
  </si>
  <si>
    <t xml:space="preserve">Obhospodařovaná plocha </t>
  </si>
  <si>
    <t xml:space="preserve">… z toho: lehká půda </t>
  </si>
  <si>
    <t xml:space="preserve">                 těžká půda </t>
  </si>
  <si>
    <t>Základní rozsah potřebných opatření (vážený průměr, %)</t>
  </si>
  <si>
    <t>Základní rozsah potřebných opatření (přepočet na hektary)</t>
  </si>
  <si>
    <t xml:space="preserve">Hlavní plodiny </t>
  </si>
  <si>
    <t>Přepočtená plocha (ha)</t>
  </si>
  <si>
    <t>Jetel nebo vojtěška, včetně semenářských porostů</t>
  </si>
  <si>
    <t>Vliv plodin na rozsah potřebných opatření, celkem</t>
  </si>
  <si>
    <t>Základní rozsah potřebných opatření podle půdního druhu (výsledná hodnota z tabulky č. 2)</t>
  </si>
  <si>
    <t>Výsledný rozsah potřebných opatření po upřesnění podle půdního druhu a plodin</t>
  </si>
  <si>
    <t>Tabulka č. 4 Dodání organické hmoty do půdy</t>
  </si>
  <si>
    <t xml:space="preserve">Použití hnojiv a upravených kalů </t>
  </si>
  <si>
    <t>Celková spotřeba (t)</t>
  </si>
  <si>
    <t>Celkem</t>
  </si>
  <si>
    <t xml:space="preserve">Směrná dávka (t/ha) </t>
  </si>
  <si>
    <t xml:space="preserve">Upravený kal (ve 100% sušině) </t>
  </si>
  <si>
    <t>Tabulka č. 5 Dodání organické hmoty do půdy a další opatření</t>
  </si>
  <si>
    <t>Použití statkových hnojiv rostlinného původu a půdoochranných technologií</t>
  </si>
  <si>
    <t xml:space="preserve">Přímé setí do nezpracované půdy, meziplodin nebo rostlinných zbytků  </t>
  </si>
  <si>
    <t>Položka</t>
  </si>
  <si>
    <t>Číslo čtverce</t>
  </si>
  <si>
    <t>Zkrácený kód DPB</t>
  </si>
  <si>
    <t>Datum operace</t>
  </si>
  <si>
    <t>Strip-till (ha)</t>
  </si>
  <si>
    <t>Přímé setí, do</t>
  </si>
  <si>
    <t>Cílová plodina</t>
  </si>
  <si>
    <t>nezpracované půdy (ha)</t>
  </si>
  <si>
    <t>rostlinných zbytků (ha)</t>
  </si>
  <si>
    <t>Obchodní závod:</t>
  </si>
  <si>
    <t>Rozdíl</t>
  </si>
  <si>
    <t>Položky</t>
  </si>
  <si>
    <t>Součet z jednotlivých DPB (tabulka č. 7)</t>
  </si>
  <si>
    <t xml:space="preserve">Přímé setí do nezpracované půdy, meziplodin nebo rostlinných zbytků (ha) </t>
  </si>
  <si>
    <t>Předplodina, 
včetně meziplodin</t>
  </si>
  <si>
    <t>Chrást, nesklizené hlavní plodiny</t>
  </si>
  <si>
    <t>Zapravení chrástu, případně nesklizených hlavních plodin</t>
  </si>
  <si>
    <t xml:space="preserve">Meziplodiny (nad 8 týdnů, bez odvozu zelené hmoty), po kterých následuje ozimá plodina </t>
  </si>
  <si>
    <t>Meziplodiny (nad 8 týdnů, bez odvozu zelené hmoty), po kterých následuje jarní plodina</t>
  </si>
  <si>
    <t>Plodiny na úhoru, bez odvozu zelené hmoty</t>
  </si>
  <si>
    <t>Meziplodiny (nad 8 týdnů) nebo plodiny na úhoru, s odvozem zelené hmoty</t>
  </si>
  <si>
    <t>Rozdíl:</t>
  </si>
  <si>
    <t xml:space="preserve"> … z toho: lehká půda</t>
  </si>
  <si>
    <t>Celková výměra (kultury R + G + U)</t>
  </si>
  <si>
    <t>Rozdíl (kladná hodnota je rezerva, záporná neplnění) (%, ha)</t>
  </si>
  <si>
    <t>Sláma obilnin (vč. kukuřice na zrno a CCM), olejnin, luskovin a dalších plodin pěstovaných na zrno či semeno (veškerá sláma, bez ohledu na přidání dusíku) atd.</t>
  </si>
  <si>
    <t>Zapravení do půdy, případně ponechání na povrchu slámy obilnin (včetně kukuřice sklizené děleným způsobem), olejnin, luskovin (pěstovaných i jako zelenina) a ostatních plodin pěstovaných na zrno či semeno nebo rostlinných zbytků po sklizni jetelovin a trav na semeno</t>
  </si>
  <si>
    <t>Nesklizený obrost víceletých pícnin</t>
  </si>
  <si>
    <t>Tabulka č. 2 Výměra půdy a rozdělení podle půdního druhu</t>
  </si>
  <si>
    <t>Standardní orná půda (R), travní porost (G), úhor (U)</t>
  </si>
  <si>
    <t xml:space="preserve">                 střední půda </t>
  </si>
  <si>
    <t>Kukuřice, česnek, křen selský jednoletý, květák, mrkev, paprika, pastinák</t>
  </si>
  <si>
    <t xml:space="preserve">Ostatní víceleté pícniny na standardní orné půdě, trávy na semeno, travní porost </t>
  </si>
  <si>
    <t>Při dosažení záporné hodnoty nejsou potřeba žádná opatření</t>
  </si>
  <si>
    <t>Váhový koeficient 
(na 1 ha)</t>
  </si>
  <si>
    <t>… z toho zapravení slámy obilnin v kombinaci se souběžnou nebo následnou aplikací kejdy, 
    digestátu nebo výpalků</t>
  </si>
  <si>
    <t>Rozsah potřebných opatření (závěrečná hodnota z tabulky č. 3)</t>
  </si>
  <si>
    <t>o 5 %</t>
  </si>
  <si>
    <t>o 10 %</t>
  </si>
  <si>
    <t>neplnění</t>
  </si>
  <si>
    <t>snížení ekoplatby na výměře kultury R</t>
  </si>
  <si>
    <t>≤ 15 %</t>
  </si>
  <si>
    <t>o 50 %</t>
  </si>
  <si>
    <t>&gt; 15 %, ≤ 25 %</t>
  </si>
  <si>
    <t>&gt; 25 %, ≤ 50 %</t>
  </si>
  <si>
    <t xml:space="preserve">&gt; 50 % </t>
  </si>
  <si>
    <t>Podíl z rozsahu potřebných opatření (%)</t>
  </si>
  <si>
    <t>Tabulka č. 3 Upřesnění rozsahu potřebných opatření podle výměry vybraných plodin</t>
  </si>
  <si>
    <t>Rozsah provedených opatření (součet celkových hodnot z tabulek č. 4 a 5)</t>
  </si>
  <si>
    <t>Meziplodiny – odvoz zelené hmoty</t>
  </si>
  <si>
    <t>Meziplodiny (nad 8 týdnů) s odvozem zelené hmoty</t>
  </si>
  <si>
    <r>
      <t>Brambory, cukrová řepa, řepa krmná, zelenina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</si>
  <si>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Brambory, </t>
    </r>
    <r>
      <rPr>
        <sz val="11"/>
        <color theme="1"/>
        <rFont val="Calibri"/>
        <family val="2"/>
        <charset val="238"/>
        <scheme val="minor"/>
      </rPr>
      <t xml:space="preserve">cukrová řepa, řepa krmná, brokolice, celer, cuketa, meloun, okurka, pór, rajče, tykev, zelí </t>
    </r>
  </si>
  <si>
    <r>
      <t xml:space="preserve">                  </t>
    </r>
    <r>
      <rPr>
        <i/>
        <sz val="11"/>
        <color theme="1"/>
        <rFont val="Calibri"/>
        <family val="2"/>
        <charset val="238"/>
        <scheme val="minor"/>
      </rPr>
      <t>střední půda (dopočet)</t>
    </r>
  </si>
  <si>
    <t xml:space="preserve">                  těžká půda</t>
  </si>
  <si>
    <t>Snížení základní celofaremní ekoplatby při nezpracování výpočtu</t>
  </si>
  <si>
    <t>Výměra 
(ha)</t>
  </si>
  <si>
    <t>… z toho zapravení slámy obilnin v kombinaci se souběžnou nebo následnou aplikací 
    kejdy, digestátu nebo výpalků</t>
  </si>
  <si>
    <t>Potřeba dodání organických látek (OL), v průměru na výměru RGU (t OL/ha)</t>
  </si>
  <si>
    <t>Potřeba (t OL/ha RGU)</t>
  </si>
  <si>
    <t>Plnění (t OL/ha RGU)</t>
  </si>
  <si>
    <t>Plnění celkem (t OL/ha RGU)</t>
  </si>
  <si>
    <t>Rozdíl = Plnění - Potřeba (t OL/ha RGU)</t>
  </si>
  <si>
    <t xml:space="preserve">Při výpočtu se vychází z celkové spotřeby hnojiv nebo upravených kalů na výměře kultur R, G, případně U v hospodářském roce. 
Pokud se použije např. kejda skotu v kombinaci se slámou obilnin, tak se tato opatření promítnou ve více řádcích: 
     1) řádek 26: kejda skotu (započteno v celk. množství kejdy aplikované na různé DPB)
     2) řádek 40: sláma (veškerá ponechaná sláma, bez ohledu na hnojení kejdou apod.)
     3) řádek 41: jen kombinace slámy obilnin s kejdou, v tomto případě s kejdou skotu
Platí tedy pravidlo, že při překryvu více jednotlivých opatření (vč. meziplodin a technologií) na stejné ploše se tyto plochy započtou vícekrát.  </t>
  </si>
  <si>
    <t>Snížení základní celofaremní ekoplatby při neplnění podmínky 
(ve vztahu k rozsahu potřebných opatření)</t>
  </si>
  <si>
    <t>ekoplatba se neposkytne</t>
  </si>
  <si>
    <t>předložení výpočtu do 30 dnů po kontrole – snížení o 3 %</t>
  </si>
  <si>
    <t xml:space="preserve">Meziplodiny na zelené hnojení – následuje ozimá plodina </t>
  </si>
  <si>
    <t>Meziplodiny na zelené hnojení – následuje jarní plodina</t>
  </si>
  <si>
    <t>Přenos z listu "výpočet" (řádky č. 50 a 51)</t>
  </si>
  <si>
    <t xml:space="preserve">Kontrola souladu údajů vyplněných žadatelem do tabulky č. 7 a do 1. listu "výpočet" </t>
  </si>
  <si>
    <t xml:space="preserve">Výpočet pro vyhodnocení hospodaření s organickou hmotou na standardní orné půdě </t>
  </si>
  <si>
    <t>Přepočtená plocha 
(ha)</t>
  </si>
  <si>
    <t>Kompost s poměrem C:N nižším než 10</t>
  </si>
  <si>
    <t>Tabulka č. 6 Vyhodnocení hospodaření s organickou hmotou na standardní orné půdě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</si>
  <si>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</si>
  <si>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r>
      <t>*)</t>
    </r>
    <r>
      <rPr>
        <sz val="10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</si>
  <si>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t>Výměra DPB 
(ha)</t>
  </si>
  <si>
    <t>Strip-till 
(ha)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</si>
  <si>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 a případná záporná hodnota se převede 
na % z rozsahu potřebných opatření)</t>
    </r>
  </si>
  <si>
    <t>(automatický přenos údajů z vkládacího formuláře v 1. listu "výpočet")</t>
  </si>
  <si>
    <t>Rozsah potřebných opatření 
(%, ha) </t>
  </si>
  <si>
    <t>Informace o zařazení DPB podle převažujícího půdního druhu (Registr půdy – LPIS): 
Tisky – Informativní výpisy – Základní (tab. Součet výměr účinných dle kultur a režimů EZ)</t>
  </si>
  <si>
    <t>… z toho kombinace: sláma obilnin + kejda, digestát, výpalky</t>
  </si>
  <si>
    <r>
      <t xml:space="preserve">Tabulka č. 7 Seznam dílů půdních bloků, na kterých byly použity půdoochranné technologie </t>
    </r>
    <r>
      <rPr>
        <i/>
        <sz val="11"/>
        <color theme="1"/>
        <rFont val="Calibri"/>
        <family val="2"/>
        <charset val="238"/>
        <scheme val="minor"/>
      </rPr>
      <t>(v případě potřeby lze uprostřed přidat řádky = vložit buňky)</t>
    </r>
  </si>
  <si>
    <t>Vysvětlivka: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</si>
  <si>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brokolice, celer, cuketa, meloun, okurka, pór, rajče, tykev, zelí  </t>
    </r>
  </si>
  <si>
    <r>
      <t xml:space="preserve">Brambory, </t>
    </r>
    <r>
      <rPr>
        <sz val="11"/>
        <color theme="1"/>
        <rFont val="Calibri"/>
        <family val="2"/>
        <charset val="238"/>
        <scheme val="minor"/>
      </rPr>
      <t>cukrová řepa, řepa krmná, zelenina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</si>
  <si>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česnek, křen selský jednoletý, květák, mrkev, paprika, pastinák</t>
    </r>
  </si>
  <si>
    <r>
      <t>Jetel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nebo vojtěška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>, včetně semenářských porostů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</si>
  <si>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pouze čisté porosty</t>
    </r>
  </si>
  <si>
    <r>
      <t>Ostatní víceleté pícniny (R)</t>
    </r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>, trávy na semeno, travní porost (G)</t>
    </r>
  </si>
  <si>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 xml:space="preserve"> včetně směsí (např. jetelotráva) </t>
    </r>
  </si>
  <si>
    <r>
      <t xml:space="preserve">Kompost s poměrem C:N </t>
    </r>
    <r>
      <rPr>
        <sz val="11"/>
        <color theme="1"/>
        <rFont val="Calibri"/>
        <family val="2"/>
        <charset val="238"/>
        <scheme val="minor"/>
      </rPr>
      <t>nižším než 10</t>
    </r>
  </si>
  <si>
    <r>
      <rPr>
        <b/>
        <sz val="11"/>
        <color theme="1"/>
        <rFont val="Calibri"/>
        <family val="2"/>
        <charset val="238"/>
        <scheme val="minor"/>
      </rPr>
      <t>Kontakty (VÚRV, v.v.i.):</t>
    </r>
    <r>
      <rPr>
        <sz val="11"/>
        <color theme="1"/>
        <rFont val="Calibri"/>
        <family val="2"/>
        <charset val="238"/>
        <scheme val="minor"/>
      </rPr>
      <t xml:space="preserve"> Ing. Jan Klír, CSc. (tel. 603 520 684, e-mail: klir@vurv.cz), Ing. Jana Wollnerová, Ph.D. (tel. 607 060 301, e-mail: wollnerova@vurv.cz)</t>
    </r>
  </si>
  <si>
    <t>meziplodin 
(ha)</t>
  </si>
  <si>
    <r>
      <rPr>
        <b/>
        <sz val="11"/>
        <color rgb="FF006600"/>
        <rFont val="Calibri"/>
        <family val="2"/>
        <charset val="238"/>
        <scheme val="minor"/>
      </rPr>
      <t>Verze 2</t>
    </r>
    <r>
      <rPr>
        <sz val="11"/>
        <color rgb="FF006600"/>
        <rFont val="Calibri"/>
        <family val="2"/>
        <charset val="238"/>
        <scheme val="minor"/>
      </rPr>
      <t xml:space="preserve"> (6. 9. 2023, výpočet podle nařízení vlády č. 83/2023 Sb., o stanovení podmínek poskytování přímých plateb zemědělcům)</t>
    </r>
  </si>
  <si>
    <r>
      <rPr>
        <b/>
        <sz val="16"/>
        <color rgb="FF006600"/>
        <rFont val="Calibri"/>
        <family val="2"/>
        <charset val="238"/>
      </rPr>
      <t>K</t>
    </r>
    <r>
      <rPr>
        <b/>
        <sz val="14"/>
        <color rgb="FF006600"/>
        <rFont val="Calibri"/>
        <family val="2"/>
        <charset val="238"/>
      </rPr>
      <t xml:space="preserve">ultura R – hospodaření s organickou hmotou v hospodářském roce </t>
    </r>
    <r>
      <rPr>
        <b/>
        <sz val="16"/>
        <color rgb="FF006600"/>
        <rFont val="Calibri"/>
        <family val="2"/>
        <charset val="238"/>
      </rPr>
      <t>2021/2022</t>
    </r>
    <r>
      <rPr>
        <b/>
        <sz val="14"/>
        <color rgb="FF006600"/>
        <rFont val="Calibri"/>
        <family val="2"/>
        <charset val="238"/>
      </rPr>
      <t xml:space="preserve"> </t>
    </r>
    <r>
      <rPr>
        <sz val="14"/>
        <color rgb="FF006600"/>
        <rFont val="Calibri"/>
        <family val="2"/>
        <charset val="238"/>
      </rPr>
      <t>(od 1. 7. 2021 do 30. 6. 2022)</t>
    </r>
  </si>
  <si>
    <t>nepředložení výpočtu do 30 dnů po kontrole – bez ekoplatby</t>
  </si>
  <si>
    <t>Výpočet pro vlastní účely</t>
  </si>
  <si>
    <t>Podmínka:</t>
  </si>
  <si>
    <r>
      <t xml:space="preserve">Obhospodařovaná plocha </t>
    </r>
    <r>
      <rPr>
        <sz val="11"/>
        <color rgb="FF006600"/>
        <rFont val="Calibri"/>
        <family val="2"/>
        <charset val="238"/>
        <scheme val="minor"/>
      </rPr>
      <t>(Jednotná žádost /JŽ/, květen 2022)</t>
    </r>
  </si>
  <si>
    <t>Podle údajů pro žádost o dotace na rok 2022</t>
  </si>
  <si>
    <r>
      <t xml:space="preserve">Vybrané plodiny </t>
    </r>
    <r>
      <rPr>
        <sz val="11"/>
        <color rgb="FF006600"/>
        <rFont val="Calibri"/>
        <family val="2"/>
        <charset val="238"/>
        <scheme val="minor"/>
      </rPr>
      <t>(JŽ, květen 2022)</t>
    </r>
  </si>
  <si>
    <t xml:space="preserve">Upřesnění potřeby opatření podle výměry vybraných plodin (JŽ 2022) </t>
  </si>
  <si>
    <r>
      <t>Dodání organické hmoty do půdy</t>
    </r>
    <r>
      <rPr>
        <sz val="11"/>
        <color rgb="FF006600"/>
        <rFont val="Calibri"/>
        <family val="2"/>
        <charset val="238"/>
        <scheme val="minor"/>
      </rPr>
      <t xml:space="preserve"> (2021/2022)</t>
    </r>
  </si>
  <si>
    <t>Celková spotřeba v období od 1. 7. 2021 do 30. 6. 2022, na výměře RGU pro JŽ 2022</t>
  </si>
  <si>
    <r>
      <t xml:space="preserve">Dodání organické hmoty a další opatření </t>
    </r>
    <r>
      <rPr>
        <sz val="11"/>
        <color rgb="FF006600"/>
        <rFont val="Calibri"/>
        <family val="2"/>
        <charset val="238"/>
        <scheme val="minor"/>
      </rPr>
      <t>(2021/2022)</t>
    </r>
  </si>
  <si>
    <t>Opatření provedená v období od 1. 7. 2021 do 30. 6. 2022, na výměře RGU pro JŽ 2022</t>
  </si>
  <si>
    <t>Úhor a ochr.pásy (JŽ, květen 2022) – bez odvozu zelené hmoty</t>
  </si>
  <si>
    <t>Úhor a ochr.pásy (JŽ, květen 2022) – odvoz zelené hmoty</t>
  </si>
  <si>
    <t>Plodiny na úhoru a v ochranných pásech (neprodukční plochy), bez odvozu zelené hmoty</t>
  </si>
  <si>
    <t>Plodiny na úhoru a v ochranných pásech (neprodukční plochy), s odvozem zelené hmoty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</si>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</sst>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006600"/>
      <name val="Calibri"/>
      <family val="2"/>
      <charset val="238"/>
      <scheme val="minor"/>
    </font>
    <font>
      <b/>
      <sz val="16"/>
      <color rgb="FF006600"/>
      <name val="Calibri"/>
      <family val="2"/>
      <charset val="238"/>
    </font>
    <font>
      <b/>
      <sz val="14"/>
      <color rgb="FF006600"/>
      <name val="Calibri"/>
      <family val="2"/>
      <charset val="238"/>
    </font>
    <font>
      <sz val="14"/>
      <color rgb="FF006600"/>
      <name val="Calibri"/>
      <family val="2"/>
      <charset val="238"/>
    </font>
    <font>
      <b/>
      <sz val="12"/>
      <color rgb="FF006600"/>
      <name val="Calibri"/>
      <family val="2"/>
      <charset val="238"/>
    </font>
    <font>
      <sz val="11"/>
      <color rgb="FF006600"/>
      <name val="Calibri"/>
      <family val="2"/>
      <charset val="238"/>
      <scheme val="minor"/>
    </font>
    <font>
      <b/>
      <sz val="11"/>
      <color rgb="FF0066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0" applyNumberFormat="1" applyFont="1" applyBorder="1"/>
    <xf numFmtId="2" fontId="0" fillId="0" borderId="0" xfId="0" applyNumberFormat="1"/>
    <xf numFmtId="0" fontId="0" fillId="0" borderId="0" xfId="0" applyBorder="1" applyAlignment="1">
      <alignment horizontal="center" vertical="top" wrapText="1"/>
    </xf>
    <xf numFmtId="9" fontId="1" fillId="0" borderId="0" xfId="0" applyNumberFormat="1" applyFont="1" applyBorder="1"/>
    <xf numFmtId="2" fontId="1" fillId="0" borderId="0" xfId="0" applyNumberFormat="1" applyFont="1" applyBorder="1"/>
    <xf numFmtId="2" fontId="0" fillId="0" borderId="0" xfId="0" applyNumberFormat="1" applyBorder="1"/>
    <xf numFmtId="9" fontId="0" fillId="0" borderId="0" xfId="0" applyNumberFormat="1" applyFont="1" applyBorder="1"/>
    <xf numFmtId="9" fontId="0" fillId="0" borderId="0" xfId="0" applyNumberFormat="1" applyBorder="1"/>
    <xf numFmtId="165" fontId="0" fillId="2" borderId="1" xfId="0" applyNumberFormat="1" applyFont="1" applyFill="1" applyBorder="1" applyAlignment="1" applyProtection="1">
      <alignment horizontal="right" vertical="center" indent="3"/>
    </xf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2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wrapText="1"/>
    </xf>
    <xf numFmtId="2" fontId="0" fillId="2" borderId="1" xfId="0" applyNumberFormat="1" applyFont="1" applyFill="1" applyBorder="1" applyAlignment="1" applyProtection="1">
      <alignment horizontal="right" vertical="center" indent="3"/>
    </xf>
    <xf numFmtId="165" fontId="0" fillId="2" borderId="1" xfId="0" applyNumberFormat="1" applyFont="1" applyFill="1" applyBorder="1" applyAlignment="1" applyProtection="1">
      <alignment horizontal="right" vertical="center" indent="4"/>
    </xf>
    <xf numFmtId="49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right" vertical="center" indent="5"/>
    </xf>
    <xf numFmtId="165" fontId="0" fillId="2" borderId="1" xfId="0" applyNumberFormat="1" applyFont="1" applyFill="1" applyBorder="1" applyAlignment="1" applyProtection="1">
      <alignment horizontal="right" vertical="center" indent="2"/>
    </xf>
    <xf numFmtId="0" fontId="1" fillId="2" borderId="1" xfId="0" applyFont="1" applyFill="1" applyBorder="1" applyAlignment="1" applyProtection="1">
      <alignment vertical="center"/>
    </xf>
    <xf numFmtId="2" fontId="0" fillId="2" borderId="1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165" fontId="0" fillId="2" borderId="1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vertical="center"/>
    </xf>
    <xf numFmtId="1" fontId="0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right" vertical="center" indent="3"/>
    </xf>
    <xf numFmtId="0" fontId="3" fillId="2" borderId="1" xfId="0" applyFont="1" applyFill="1" applyBorder="1" applyAlignment="1" applyProtection="1">
      <alignment horizontal="right" vertical="center" indent="4"/>
    </xf>
    <xf numFmtId="164" fontId="3" fillId="2" borderId="1" xfId="0" applyNumberFormat="1" applyFont="1" applyFill="1" applyBorder="1" applyAlignment="1" applyProtection="1">
      <alignment horizontal="right" vertical="center" indent="4"/>
    </xf>
    <xf numFmtId="2" fontId="0" fillId="2" borderId="1" xfId="0" applyNumberFormat="1" applyFont="1" applyFill="1" applyBorder="1" applyAlignment="1" applyProtection="1">
      <alignment horizontal="right" vertical="center" indent="7"/>
    </xf>
    <xf numFmtId="3" fontId="4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9" fontId="1" fillId="0" borderId="0" xfId="0" applyNumberFormat="1" applyFont="1" applyAlignment="1" applyProtection="1">
      <alignment horizontal="right" vertical="center" indent="3"/>
    </xf>
    <xf numFmtId="0" fontId="0" fillId="0" borderId="0" xfId="0" applyFont="1" applyProtection="1"/>
    <xf numFmtId="3" fontId="0" fillId="0" borderId="0" xfId="0" applyNumberFormat="1" applyFont="1" applyFill="1" applyBorder="1" applyProtection="1"/>
    <xf numFmtId="0" fontId="6" fillId="0" borderId="0" xfId="0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left" indent="1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7" borderId="0" xfId="0" applyFont="1" applyFill="1" applyBorder="1" applyAlignment="1" applyProtection="1">
      <alignment vertical="center"/>
    </xf>
    <xf numFmtId="165" fontId="2" fillId="7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center"/>
    </xf>
    <xf numFmtId="0" fontId="8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 wrapText="1"/>
    </xf>
    <xf numFmtId="3" fontId="0" fillId="7" borderId="0" xfId="0" applyNumberFormat="1" applyFont="1" applyFill="1" applyBorder="1" applyProtection="1"/>
    <xf numFmtId="4" fontId="1" fillId="7" borderId="0" xfId="0" applyNumberFormat="1" applyFont="1" applyFill="1" applyBorder="1" applyAlignment="1" applyProtection="1">
      <alignment horizontal="right" vertical="center" indent="2"/>
    </xf>
    <xf numFmtId="3" fontId="0" fillId="7" borderId="0" xfId="0" applyNumberFormat="1" applyFont="1" applyFill="1" applyBorder="1" applyAlignment="1" applyProtection="1">
      <alignment vertical="center"/>
    </xf>
    <xf numFmtId="3" fontId="4" fillId="7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left" indent="1"/>
    </xf>
    <xf numFmtId="4" fontId="0" fillId="0" borderId="0" xfId="0" applyNumberFormat="1" applyFont="1" applyBorder="1" applyAlignment="1" applyProtection="1">
      <alignment horizontal="left" indent="1"/>
    </xf>
    <xf numFmtId="0" fontId="0" fillId="0" borderId="0" xfId="0" applyFont="1" applyAlignment="1" applyProtection="1">
      <alignment horizontal="left" vertical="center" indent="1"/>
    </xf>
    <xf numFmtId="49" fontId="0" fillId="0" borderId="0" xfId="0" applyNumberFormat="1" applyFont="1" applyBorder="1" applyAlignment="1" applyProtection="1">
      <alignment horizontal="left" indent="1"/>
    </xf>
    <xf numFmtId="0" fontId="1" fillId="7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/>
    <xf numFmtId="4" fontId="0" fillId="7" borderId="0" xfId="0" applyNumberFormat="1" applyFont="1" applyFill="1" applyBorder="1" applyAlignment="1" applyProtection="1">
      <alignment horizontal="right" vertical="center" indent="2"/>
    </xf>
    <xf numFmtId="0" fontId="1" fillId="7" borderId="0" xfId="0" applyFont="1" applyFill="1" applyBorder="1" applyAlignment="1" applyProtection="1">
      <alignment horizontal="right" vertical="center"/>
    </xf>
    <xf numFmtId="165" fontId="0" fillId="7" borderId="0" xfId="0" applyNumberFormat="1" applyFont="1" applyFill="1" applyBorder="1" applyAlignment="1" applyProtection="1">
      <alignment horizontal="right" vertical="center" indent="3"/>
    </xf>
    <xf numFmtId="3" fontId="0" fillId="7" borderId="0" xfId="0" applyNumberFormat="1" applyFont="1" applyFill="1" applyBorder="1" applyAlignment="1" applyProtection="1">
      <alignment horizontal="right" vertical="center" indent="4"/>
    </xf>
    <xf numFmtId="165" fontId="11" fillId="2" borderId="1" xfId="0" applyNumberFormat="1" applyFont="1" applyFill="1" applyBorder="1" applyAlignment="1" applyProtection="1">
      <alignment horizontal="right" vertical="center" indent="3"/>
    </xf>
    <xf numFmtId="165" fontId="0" fillId="2" borderId="8" xfId="0" applyNumberFormat="1" applyFont="1" applyFill="1" applyBorder="1" applyAlignment="1" applyProtection="1">
      <alignment horizontal="right" vertical="center" indent="3"/>
    </xf>
    <xf numFmtId="0" fontId="4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indent="4"/>
    </xf>
    <xf numFmtId="3" fontId="3" fillId="7" borderId="0" xfId="0" applyNumberFormat="1" applyFont="1" applyFill="1" applyBorder="1" applyAlignment="1" applyProtection="1">
      <alignment horizontal="right" vertical="center" indent="4"/>
    </xf>
    <xf numFmtId="0" fontId="3" fillId="0" borderId="0" xfId="0" applyFont="1" applyProtection="1"/>
    <xf numFmtId="4" fontId="4" fillId="2" borderId="1" xfId="0" applyNumberFormat="1" applyFont="1" applyFill="1" applyBorder="1" applyAlignment="1" applyProtection="1">
      <alignment horizontal="right" vertical="center" indent="4"/>
    </xf>
    <xf numFmtId="3" fontId="3" fillId="0" borderId="0" xfId="0" applyNumberFormat="1" applyFont="1" applyFill="1" applyBorder="1" applyAlignment="1" applyProtection="1">
      <alignment horizontal="right" vertical="center" indent="3"/>
    </xf>
    <xf numFmtId="3" fontId="4" fillId="0" borderId="0" xfId="0" applyNumberFormat="1" applyFont="1" applyFill="1" applyBorder="1" applyAlignment="1" applyProtection="1">
      <alignment horizontal="right" vertical="center" indent="4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 indent="2"/>
      <protection locked="0"/>
    </xf>
    <xf numFmtId="4" fontId="0" fillId="0" borderId="1" xfId="0" applyNumberFormat="1" applyFont="1" applyFill="1" applyBorder="1" applyAlignment="1" applyProtection="1">
      <alignment horizontal="right" vertical="center" indent="2"/>
      <protection locked="0"/>
    </xf>
    <xf numFmtId="4" fontId="0" fillId="0" borderId="3" xfId="0" applyNumberFormat="1" applyFont="1" applyBorder="1" applyAlignment="1" applyProtection="1">
      <alignment horizontal="right" vertical="center" indent="2"/>
      <protection locked="0"/>
    </xf>
    <xf numFmtId="4" fontId="0" fillId="0" borderId="3" xfId="0" applyNumberFormat="1" applyFont="1" applyFill="1" applyBorder="1" applyAlignment="1" applyProtection="1">
      <alignment horizontal="right" vertical="center" indent="2"/>
      <protection locked="0"/>
    </xf>
    <xf numFmtId="165" fontId="0" fillId="0" borderId="0" xfId="0" applyNumberFormat="1" applyFont="1" applyFill="1" applyBorder="1" applyAlignment="1" applyProtection="1">
      <alignment horizontal="right" vertical="center" indent="3"/>
    </xf>
    <xf numFmtId="165" fontId="0" fillId="7" borderId="0" xfId="0" applyNumberFormat="1" applyFont="1" applyFill="1" applyBorder="1" applyAlignment="1" applyProtection="1">
      <alignment horizontal="right" vertical="center" indent="2"/>
    </xf>
    <xf numFmtId="0" fontId="2" fillId="5" borderId="1" xfId="0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right"/>
    </xf>
    <xf numFmtId="0" fontId="2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4" fontId="1" fillId="7" borderId="0" xfId="0" applyNumberFormat="1" applyFont="1" applyFill="1" applyBorder="1" applyAlignment="1" applyProtection="1">
      <alignment horizontal="right" vertical="center" indent="4"/>
    </xf>
    <xf numFmtId="4" fontId="0" fillId="7" borderId="0" xfId="0" applyNumberFormat="1" applyFont="1" applyFill="1" applyBorder="1" applyAlignment="1" applyProtection="1">
      <alignment horizontal="right" vertical="center" indent="4"/>
    </xf>
    <xf numFmtId="4" fontId="0" fillId="0" borderId="0" xfId="0" applyNumberFormat="1" applyFont="1" applyBorder="1" applyAlignment="1" applyProtection="1">
      <alignment horizontal="right" vertical="center" indent="3"/>
    </xf>
    <xf numFmtId="4" fontId="0" fillId="7" borderId="0" xfId="0" applyNumberFormat="1" applyFont="1" applyFill="1" applyBorder="1" applyAlignment="1" applyProtection="1">
      <alignment horizontal="center" vertical="center" wrapText="1"/>
    </xf>
    <xf numFmtId="4" fontId="1" fillId="7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right" vertical="center" indent="5"/>
    </xf>
    <xf numFmtId="0" fontId="9" fillId="7" borderId="0" xfId="0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vertical="center"/>
    </xf>
    <xf numFmtId="49" fontId="0" fillId="0" borderId="0" xfId="0" applyNumberFormat="1" applyFont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13" fillId="7" borderId="0" xfId="0" applyFont="1" applyFill="1" applyBorder="1" applyAlignment="1" applyProtection="1">
      <alignment horizontal="center" vertical="center" wrapText="1"/>
    </xf>
    <xf numFmtId="165" fontId="13" fillId="7" borderId="0" xfId="0" applyNumberFormat="1" applyFont="1" applyFill="1" applyBorder="1" applyAlignment="1" applyProtection="1">
      <alignment horizontal="center" vertical="center"/>
    </xf>
    <xf numFmtId="165" fontId="7" fillId="9" borderId="2" xfId="0" applyNumberFormat="1" applyFont="1" applyFill="1" applyBorder="1" applyAlignment="1" applyProtection="1">
      <alignment horizontal="right" vertical="center" indent="3"/>
    </xf>
    <xf numFmtId="0" fontId="1" fillId="4" borderId="1" xfId="0" applyFont="1" applyFill="1" applyBorder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right" vertical="center"/>
    </xf>
    <xf numFmtId="165" fontId="1" fillId="4" borderId="1" xfId="0" applyNumberFormat="1" applyFont="1" applyFill="1" applyBorder="1" applyAlignment="1" applyProtection="1">
      <alignment horizontal="right" vertical="center" indent="3"/>
    </xf>
    <xf numFmtId="4" fontId="4" fillId="4" borderId="1" xfId="0" applyNumberFormat="1" applyFont="1" applyFill="1" applyBorder="1" applyAlignment="1" applyProtection="1">
      <alignment horizontal="right" vertical="center" indent="4"/>
    </xf>
    <xf numFmtId="4" fontId="4" fillId="3" borderId="8" xfId="0" applyNumberFormat="1" applyFont="1" applyFill="1" applyBorder="1" applyAlignment="1" applyProtection="1">
      <alignment horizontal="right" vertical="center" indent="4"/>
    </xf>
    <xf numFmtId="0" fontId="11" fillId="10" borderId="1" xfId="0" applyFont="1" applyFill="1" applyBorder="1" applyAlignment="1" applyProtection="1">
      <alignment vertical="center"/>
    </xf>
    <xf numFmtId="0" fontId="0" fillId="11" borderId="1" xfId="0" applyFont="1" applyFill="1" applyBorder="1" applyAlignment="1" applyProtection="1">
      <alignment vertical="center"/>
    </xf>
    <xf numFmtId="4" fontId="4" fillId="11" borderId="1" xfId="0" applyNumberFormat="1" applyFont="1" applyFill="1" applyBorder="1" applyAlignment="1" applyProtection="1">
      <alignment horizontal="right" vertical="center" indent="4"/>
    </xf>
    <xf numFmtId="0" fontId="1" fillId="11" borderId="1" xfId="0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/>
    </xf>
    <xf numFmtId="165" fontId="2" fillId="3" borderId="1" xfId="0" applyNumberFormat="1" applyFont="1" applyFill="1" applyBorder="1" applyAlignment="1" applyProtection="1">
      <alignment horizontal="right" vertical="center" indent="3"/>
    </xf>
    <xf numFmtId="165" fontId="2" fillId="4" borderId="1" xfId="0" applyNumberFormat="1" applyFont="1" applyFill="1" applyBorder="1" applyAlignment="1" applyProtection="1">
      <alignment horizontal="right" vertical="center" indent="3"/>
    </xf>
    <xf numFmtId="0" fontId="0" fillId="0" borderId="0" xfId="0" applyFont="1" applyAlignment="1" applyProtection="1">
      <alignment horizontal="right" indent="3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3" fontId="0" fillId="0" borderId="1" xfId="0" applyNumberFormat="1" applyBorder="1" applyAlignment="1">
      <alignment horizontal="right" vertical="center" wrapText="1" indent="1"/>
    </xf>
    <xf numFmtId="4" fontId="0" fillId="0" borderId="1" xfId="0" applyNumberFormat="1" applyFont="1" applyBorder="1" applyAlignment="1">
      <alignment horizontal="right" vertical="center" wrapText="1" indent="3"/>
    </xf>
    <xf numFmtId="4" fontId="0" fillId="0" borderId="1" xfId="0" applyNumberFormat="1" applyBorder="1" applyAlignment="1">
      <alignment horizontal="right" vertical="center" wrapText="1" indent="3"/>
    </xf>
    <xf numFmtId="4" fontId="1" fillId="0" borderId="1" xfId="0" applyNumberFormat="1" applyFont="1" applyBorder="1" applyAlignment="1">
      <alignment horizontal="right" vertical="center" wrapText="1" indent="3"/>
    </xf>
    <xf numFmtId="4" fontId="0" fillId="0" borderId="1" xfId="0" applyNumberFormat="1" applyFont="1" applyBorder="1" applyAlignment="1">
      <alignment horizontal="right" vertical="center" wrapText="1" indent="4"/>
    </xf>
    <xf numFmtId="3" fontId="0" fillId="0" borderId="1" xfId="0" applyNumberFormat="1" applyBorder="1" applyAlignment="1">
      <alignment horizontal="right" vertical="center" wrapText="1" indent="4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 inden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 indent="1"/>
      <protection locked="0"/>
    </xf>
    <xf numFmtId="0" fontId="0" fillId="0" borderId="1" xfId="0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 indent="1"/>
    </xf>
    <xf numFmtId="0" fontId="0" fillId="0" borderId="0" xfId="0" applyBorder="1" applyAlignment="1" applyProtection="1">
      <alignment horizontal="righ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4" fillId="0" borderId="0" xfId="0" applyFont="1" applyBorder="1" applyProtection="1"/>
    <xf numFmtId="0" fontId="15" fillId="0" borderId="0" xfId="0" applyFont="1" applyAlignment="1" applyProtection="1">
      <alignment vertical="center"/>
    </xf>
    <xf numFmtId="165" fontId="7" fillId="8" borderId="1" xfId="0" applyNumberFormat="1" applyFont="1" applyFill="1" applyBorder="1" applyAlignment="1" applyProtection="1">
      <alignment horizontal="right" vertical="center" indent="3"/>
    </xf>
    <xf numFmtId="165" fontId="11" fillId="8" borderId="1" xfId="0" applyNumberFormat="1" applyFont="1" applyFill="1" applyBorder="1" applyAlignment="1" applyProtection="1">
      <alignment horizontal="right" vertical="center" indent="3"/>
    </xf>
    <xf numFmtId="4" fontId="0" fillId="2" borderId="1" xfId="0" applyNumberFormat="1" applyFont="1" applyFill="1" applyBorder="1" applyAlignment="1" applyProtection="1">
      <alignment horizontal="right" vertical="center" indent="2"/>
    </xf>
    <xf numFmtId="165" fontId="1" fillId="0" borderId="1" xfId="0" applyNumberFormat="1" applyFont="1" applyBorder="1" applyAlignment="1">
      <alignment horizontal="right" vertical="center" wrapText="1" indent="1"/>
    </xf>
    <xf numFmtId="0" fontId="1" fillId="0" borderId="0" xfId="0" applyFont="1" applyFill="1" applyBorder="1" applyAlignment="1" applyProtection="1">
      <alignment horizontal="right" vertical="center"/>
    </xf>
    <xf numFmtId="165" fontId="7" fillId="0" borderId="0" xfId="0" applyNumberFormat="1" applyFont="1" applyFill="1" applyBorder="1" applyAlignment="1" applyProtection="1">
      <alignment horizontal="right" vertical="center" indent="3"/>
    </xf>
    <xf numFmtId="3" fontId="7" fillId="0" borderId="0" xfId="0" applyNumberFormat="1" applyFont="1" applyFill="1" applyBorder="1" applyAlignment="1" applyProtection="1">
      <alignment horizontal="right" vertical="center" indent="4"/>
    </xf>
    <xf numFmtId="4" fontId="4" fillId="0" borderId="0" xfId="0" applyNumberFormat="1" applyFont="1" applyFill="1" applyBorder="1" applyAlignment="1" applyProtection="1">
      <alignment horizontal="right" vertical="center" indent="4"/>
    </xf>
    <xf numFmtId="4" fontId="10" fillId="0" borderId="0" xfId="0" applyNumberFormat="1" applyFont="1" applyBorder="1" applyProtection="1"/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0" xfId="0" applyNumberFormat="1" applyFont="1" applyFill="1" applyBorder="1" applyAlignment="1" applyProtection="1">
      <alignment horizontal="left" vertical="center" wrapText="1" indent="1"/>
    </xf>
    <xf numFmtId="49" fontId="1" fillId="0" borderId="0" xfId="0" applyNumberFormat="1" applyFont="1" applyBorder="1" applyAlignment="1" applyProtection="1">
      <alignment horizontal="left" vertical="center" wrapText="1" indent="1"/>
    </xf>
    <xf numFmtId="49" fontId="0" fillId="0" borderId="0" xfId="0" applyNumberFormat="1" applyFont="1" applyBorder="1" applyAlignment="1" applyProtection="1">
      <alignment horizontal="left" vertical="top" wrapText="1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4" fontId="1" fillId="7" borderId="0" xfId="0" applyNumberFormat="1" applyFont="1" applyFill="1" applyBorder="1" applyAlignment="1" applyProtection="1">
      <alignment horizontal="left" vertical="center"/>
    </xf>
    <xf numFmtId="4" fontId="4" fillId="0" borderId="0" xfId="0" applyNumberFormat="1" applyFont="1"/>
    <xf numFmtId="0" fontId="5" fillId="0" borderId="0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 vertical="center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indent="1"/>
    </xf>
    <xf numFmtId="4" fontId="4" fillId="0" borderId="1" xfId="0" applyNumberFormat="1" applyFont="1" applyBorder="1" applyAlignment="1" applyProtection="1">
      <alignment horizontal="right" indent="1"/>
    </xf>
    <xf numFmtId="0" fontId="1" fillId="5" borderId="1" xfId="0" applyFont="1" applyFill="1" applyBorder="1" applyAlignment="1">
      <alignment horizontal="center" vertical="center" wrapText="1"/>
    </xf>
    <xf numFmtId="165" fontId="0" fillId="7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 applyProtection="1">
      <alignment horizontal="right" vertical="center"/>
    </xf>
    <xf numFmtId="2" fontId="0" fillId="7" borderId="0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 applyProtection="1">
      <alignment horizontal="right" vertical="center" indent="4"/>
    </xf>
    <xf numFmtId="4" fontId="11" fillId="2" borderId="1" xfId="0" applyNumberFormat="1" applyFont="1" applyFill="1" applyBorder="1" applyAlignment="1" applyProtection="1">
      <alignment horizontal="right" vertical="center" indent="4"/>
    </xf>
    <xf numFmtId="4" fontId="1" fillId="2" borderId="1" xfId="0" applyNumberFormat="1" applyFont="1" applyFill="1" applyBorder="1" applyAlignment="1" applyProtection="1">
      <alignment horizontal="right" vertical="center" indent="4"/>
    </xf>
    <xf numFmtId="4" fontId="1" fillId="0" borderId="0" xfId="0" applyNumberFormat="1" applyFont="1" applyFill="1" applyBorder="1" applyAlignment="1" applyProtection="1">
      <alignment horizontal="right" vertical="center" indent="4"/>
    </xf>
    <xf numFmtId="4" fontId="1" fillId="4" borderId="1" xfId="0" applyNumberFormat="1" applyFont="1" applyFill="1" applyBorder="1" applyAlignment="1" applyProtection="1">
      <alignment horizontal="right" vertical="center" indent="4"/>
    </xf>
    <xf numFmtId="4" fontId="1" fillId="11" borderId="1" xfId="0" applyNumberFormat="1" applyFont="1" applyFill="1" applyBorder="1" applyAlignment="1" applyProtection="1">
      <alignment horizontal="right" vertical="center" indent="4"/>
    </xf>
    <xf numFmtId="4" fontId="0" fillId="2" borderId="4" xfId="0" applyNumberFormat="1" applyFont="1" applyFill="1" applyBorder="1" applyAlignment="1" applyProtection="1">
      <alignment horizontal="right" vertical="center" indent="4"/>
    </xf>
    <xf numFmtId="4" fontId="7" fillId="9" borderId="8" xfId="0" applyNumberFormat="1" applyFont="1" applyFill="1" applyBorder="1" applyAlignment="1" applyProtection="1">
      <alignment horizontal="right" vertical="center" indent="4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 applyProtection="1">
      <alignment horizontal="right"/>
    </xf>
    <xf numFmtId="0" fontId="0" fillId="0" borderId="0" xfId="0" applyFont="1"/>
    <xf numFmtId="0" fontId="0" fillId="0" borderId="0" xfId="0" applyFont="1" applyBorder="1"/>
    <xf numFmtId="165" fontId="0" fillId="0" borderId="0" xfId="0" applyNumberFormat="1" applyFont="1" applyFill="1" applyBorder="1" applyAlignment="1" applyProtection="1">
      <alignment horizontal="right" vertical="center" indent="2"/>
    </xf>
    <xf numFmtId="0" fontId="0" fillId="0" borderId="0" xfId="0" applyFont="1" applyBorder="1" applyProtection="1"/>
    <xf numFmtId="0" fontId="1" fillId="5" borderId="1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0" xfId="0" applyFont="1" applyAlignment="1">
      <alignment horizontal="right"/>
    </xf>
    <xf numFmtId="0" fontId="7" fillId="13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>
      <alignment horizontal="left"/>
    </xf>
    <xf numFmtId="0" fontId="21" fillId="6" borderId="1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indent="5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 applyProtection="1"/>
    <xf numFmtId="1" fontId="0" fillId="0" borderId="0" xfId="0" applyNumberFormat="1" applyFont="1" applyBorder="1"/>
    <xf numFmtId="0" fontId="5" fillId="6" borderId="1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1" fillId="6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22" fillId="6" borderId="4" xfId="0" applyFont="1" applyFill="1" applyBorder="1" applyAlignment="1" applyProtection="1">
      <alignment horizontal="center" vertical="top" wrapText="1"/>
    </xf>
    <xf numFmtId="0" fontId="22" fillId="6" borderId="9" xfId="0" applyFont="1" applyFill="1" applyBorder="1" applyAlignment="1" applyProtection="1">
      <alignment horizontal="center" vertical="top" wrapText="1"/>
    </xf>
    <xf numFmtId="0" fontId="22" fillId="6" borderId="5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top" wrapText="1" inden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4" fontId="0" fillId="0" borderId="0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right" vertical="center" wrapText="1"/>
    </xf>
    <xf numFmtId="0" fontId="7" fillId="12" borderId="1" xfId="0" applyFont="1" applyFill="1" applyBorder="1" applyAlignment="1" applyProtection="1">
      <alignment horizontal="right" vertical="center" wrapText="1"/>
    </xf>
    <xf numFmtId="0" fontId="7" fillId="8" borderId="1" xfId="0" applyFont="1" applyFill="1" applyBorder="1" applyAlignment="1" applyProtection="1">
      <alignment horizontal="right" vertical="center" wrapText="1"/>
    </xf>
    <xf numFmtId="0" fontId="0" fillId="0" borderId="5" xfId="0" applyFont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 indent="1"/>
    </xf>
    <xf numFmtId="4" fontId="0" fillId="0" borderId="1" xfId="0" applyNumberFormat="1" applyFont="1" applyBorder="1" applyAlignment="1">
      <alignment horizontal="right" vertical="center" wrapText="1" indent="1"/>
    </xf>
    <xf numFmtId="0" fontId="0" fillId="0" borderId="6" xfId="0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 indent="1"/>
    </xf>
    <xf numFmtId="165" fontId="0" fillId="0" borderId="8" xfId="0" applyNumberFormat="1" applyBorder="1" applyAlignment="1">
      <alignment horizontal="right" vertical="center" wrapText="1" indent="1"/>
    </xf>
    <xf numFmtId="4" fontId="1" fillId="0" borderId="3" xfId="0" applyNumberFormat="1" applyFont="1" applyBorder="1" applyAlignment="1">
      <alignment horizontal="right" vertical="center" wrapText="1" indent="1"/>
    </xf>
    <xf numFmtId="4" fontId="1" fillId="0" borderId="8" xfId="0" applyNumberFormat="1" applyFont="1" applyBorder="1" applyAlignment="1">
      <alignment horizontal="right" vertical="center" wrapText="1" indent="1"/>
    </xf>
    <xf numFmtId="0" fontId="1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6" fillId="0" borderId="7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right" indent="13"/>
    </xf>
    <xf numFmtId="0" fontId="3" fillId="0" borderId="3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right" indent="13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/>
    </xf>
    <xf numFmtId="0" fontId="1" fillId="5" borderId="6" xfId="0" applyFont="1" applyFill="1" applyBorder="1" applyAlignment="1" applyProtection="1">
      <alignment horizontal="left"/>
    </xf>
    <xf numFmtId="0" fontId="1" fillId="5" borderId="8" xfId="0" applyFont="1" applyFill="1" applyBorder="1" applyAlignment="1" applyProtection="1">
      <alignment horizontal="left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left" vertical="center" wrapText="1"/>
    </xf>
    <xf numFmtId="0" fontId="30" fillId="7" borderId="0" xfId="0" applyFont="1" applyFill="1" applyBorder="1" applyAlignment="1" applyProtection="1">
      <alignment horizontal="center" vertical="center" wrapText="1"/>
    </xf>
    <xf numFmtId="0" fontId="30" fillId="0" borderId="0" xfId="0" applyFont="1" applyBorder="1"/>
    <xf numFmtId="0" fontId="31" fillId="0" borderId="0" xfId="0" applyFont="1" applyFill="1" applyBorder="1"/>
    <xf numFmtId="4" fontId="31" fillId="0" borderId="0" xfId="0" applyNumberFormat="1" applyFont="1" applyFill="1" applyBorder="1" applyAlignment="1" applyProtection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 applyProtection="1">
      <alignment horizontal="left" vertical="center"/>
    </xf>
    <xf numFmtId="0" fontId="0" fillId="14" borderId="3" xfId="0" applyFont="1" applyFill="1" applyBorder="1" applyAlignment="1">
      <alignment horizontal="left" vertical="center" wrapText="1"/>
    </xf>
    <xf numFmtId="0" fontId="0" fillId="14" borderId="6" xfId="0" applyFont="1" applyFill="1" applyBorder="1" applyAlignment="1">
      <alignment horizontal="left" vertical="center" wrapText="1"/>
    </xf>
    <xf numFmtId="0" fontId="0" fillId="14" borderId="8" xfId="0" applyFont="1" applyFill="1" applyBorder="1" applyAlignment="1">
      <alignment horizontal="left" vertical="center" wrapText="1"/>
    </xf>
    <xf numFmtId="0" fontId="25" fillId="14" borderId="1" xfId="0" applyFont="1" applyFill="1" applyBorder="1" applyAlignment="1" applyProtection="1">
      <alignment horizontal="center" vertical="center"/>
    </xf>
    <xf numFmtId="0" fontId="27" fillId="14" borderId="11" xfId="0" applyFont="1" applyFill="1" applyBorder="1" applyAlignment="1" applyProtection="1">
      <alignment horizontal="center" vertical="center" wrapText="1"/>
    </xf>
    <xf numFmtId="0" fontId="27" fillId="14" borderId="12" xfId="0" applyFont="1" applyFill="1" applyBorder="1" applyAlignment="1" applyProtection="1">
      <alignment horizontal="center" vertical="center"/>
    </xf>
    <xf numFmtId="0" fontId="27" fillId="14" borderId="13" xfId="0" applyFont="1" applyFill="1" applyBorder="1" applyAlignment="1" applyProtection="1">
      <alignment horizontal="center" vertical="center"/>
    </xf>
    <xf numFmtId="0" fontId="27" fillId="14" borderId="14" xfId="0" applyFont="1" applyFill="1" applyBorder="1" applyAlignment="1" applyProtection="1">
      <alignment horizontal="center" vertical="center"/>
    </xf>
    <xf numFmtId="0" fontId="29" fillId="15" borderId="1" xfId="0" applyFont="1" applyFill="1" applyBorder="1" applyAlignment="1" applyProtection="1">
      <alignment horizontal="left" vertical="center" wrapText="1"/>
    </xf>
    <xf numFmtId="0" fontId="23" fillId="14" borderId="1" xfId="0" applyFont="1" applyFill="1" applyBorder="1" applyAlignment="1" applyProtection="1">
      <alignment horizontal="center" vertical="center" wrapText="1"/>
    </xf>
    <xf numFmtId="49" fontId="23" fillId="14" borderId="1" xfId="0" applyNumberFormat="1" applyFont="1" applyFill="1" applyBorder="1" applyAlignment="1" applyProtection="1">
      <alignment horizontal="left" vertical="center" wrapText="1" indent="1"/>
    </xf>
    <xf numFmtId="0" fontId="23" fillId="14" borderId="1" xfId="0" applyFont="1" applyFill="1" applyBorder="1" applyAlignment="1" applyProtection="1">
      <alignment vertical="center" wrapText="1"/>
    </xf>
    <xf numFmtId="0" fontId="23" fillId="14" borderId="4" xfId="0" applyFont="1" applyFill="1" applyBorder="1" applyAlignment="1" applyProtection="1">
      <alignment horizontal="left" vertical="center" wrapText="1"/>
    </xf>
    <xf numFmtId="0" fontId="23" fillId="14" borderId="4" xfId="0" applyFont="1" applyFill="1" applyBorder="1" applyAlignment="1" applyProtection="1">
      <alignment horizontal="center" vertical="center" wrapText="1"/>
    </xf>
    <xf numFmtId="0" fontId="28" fillId="14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right" vertical="center"/>
    </xf>
    <xf numFmtId="4" fontId="32" fillId="7" borderId="0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34">
    <dxf>
      <font>
        <strike val="0"/>
        <color rgb="FF0066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33CC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FF00"/>
        </patternFill>
      </fill>
    </dxf>
    <dxf>
      <font>
        <b/>
        <i val="0"/>
        <strike val="0"/>
        <color rgb="FF006600"/>
      </font>
      <fill>
        <patternFill>
          <bgColor rgb="FF89DBB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090099676129"/>
          <c:y val="9.9547724119551331E-2"/>
          <c:w val="0.85546262901900161"/>
          <c:h val="0.56777003599817022"/>
        </c:manualLayout>
      </c:layout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A52-411E-8EB0-E4C7E89ED00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5A52-411E-8EB0-E4C7E89ED007}"/>
              </c:ext>
            </c:extLst>
          </c:dPt>
          <c:cat>
            <c:strRef>
              <c:f>výpočet!$Q$1:$R$1</c:f>
              <c:strCache>
                <c:ptCount val="2"/>
                <c:pt idx="0">
                  <c:v>Plnění:</c:v>
                </c:pt>
                <c:pt idx="1">
                  <c:v>Potřeba:</c:v>
                </c:pt>
              </c:strCache>
            </c:strRef>
          </c:cat>
          <c:val>
            <c:numRef>
              <c:f>výpočet!$Q$2:$R$2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2-411E-8EB0-E4C7E89E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281152"/>
        <c:axId val="205282688"/>
      </c:barChart>
      <c:catAx>
        <c:axId val="20528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cs-CZ"/>
          </a:p>
        </c:txPr>
        <c:crossAx val="205282688"/>
        <c:crosses val="autoZero"/>
        <c:auto val="1"/>
        <c:lblAlgn val="ctr"/>
        <c:lblOffset val="100"/>
        <c:noMultiLvlLbl val="0"/>
      </c:catAx>
      <c:valAx>
        <c:axId val="205282688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cs-CZ"/>
          </a:p>
        </c:txPr>
        <c:crossAx val="2052811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43294</xdr:colOff>
      <xdr:row>2</xdr:row>
      <xdr:rowOff>22515</xdr:rowOff>
    </xdr:from>
    <xdr:to>
      <xdr:col>4</xdr:col>
      <xdr:colOff>0</xdr:colOff>
      <xdr:row>6</xdr:row>
      <xdr:rowOff>138545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showGridLines="0" showZeros="0" tabSelected="1" zoomScale="110" zoomScaleNormal="110" workbookViewId="0">
      <selection activeCell="C2" sqref="C2:D2"/>
    </sheetView>
  </sheetViews>
  <sheetFormatPr defaultRowHeight="15" x14ac:dyDescent="0.25"/>
  <cols>
    <col min="1" max="1" width="0.5703125" customWidth="1"/>
    <col min="2" max="2" width="55.5703125" customWidth="1"/>
    <col min="3" max="3" width="14.42578125" customWidth="1"/>
    <col min="4" max="4" width="80.42578125" customWidth="1"/>
    <col min="5" max="5" width="0.85546875" customWidth="1"/>
    <col min="6" max="6" width="14.140625" customWidth="1"/>
    <col min="7" max="7" width="43.85546875" customWidth="1"/>
    <col min="8" max="8" width="1.5703125" customWidth="1"/>
    <col min="9" max="10" width="1.42578125" customWidth="1"/>
    <col min="11" max="11" width="4.42578125" customWidth="1"/>
    <col min="12" max="12" width="53.42578125" customWidth="1"/>
    <col min="13" max="13" width="15.42578125" customWidth="1"/>
    <col min="14" max="14" width="25.5703125" customWidth="1"/>
    <col min="15" max="15" width="21.140625" customWidth="1"/>
    <col min="16" max="16" width="24.5703125" customWidth="1"/>
    <col min="17" max="17" width="20.5703125" customWidth="1"/>
    <col min="18" max="18" width="26.5703125" customWidth="1"/>
    <col min="19" max="19" width="9.5703125" customWidth="1"/>
    <col min="20" max="20" width="16.5703125" customWidth="1"/>
    <col min="21" max="21" width="22.5703125" customWidth="1"/>
    <col min="22" max="22" width="17.5703125" customWidth="1"/>
    <col min="24" max="24" width="9" customWidth="1"/>
    <col min="25" max="25" width="9.140625" customWidth="1"/>
    <col min="26" max="26" width="12.42578125" bestFit="1" customWidth="1"/>
    <col min="27" max="27" width="20.140625" customWidth="1"/>
  </cols>
  <sheetData>
    <row r="1" spans="1:23" ht="20.100000000000001" customHeight="1" x14ac:dyDescent="0.3">
      <c r="A1" s="12"/>
      <c r="B1" s="284" t="s">
        <v>162</v>
      </c>
      <c r="C1" s="284"/>
      <c r="D1" s="284"/>
      <c r="E1" s="151"/>
      <c r="F1" s="285" t="s">
        <v>164</v>
      </c>
      <c r="G1" s="286"/>
      <c r="H1" s="182"/>
      <c r="I1" s="97" t="s">
        <v>41</v>
      </c>
      <c r="J1" s="52"/>
      <c r="K1" s="182"/>
      <c r="L1" s="182"/>
      <c r="M1" s="43"/>
      <c r="N1" s="226" t="s">
        <v>39</v>
      </c>
      <c r="O1" s="226"/>
      <c r="P1" s="117">
        <f>IF(C8=0,0,P9)</f>
        <v>0</v>
      </c>
      <c r="Q1" s="102" t="str">
        <f>N2</f>
        <v>Plnění:</v>
      </c>
      <c r="R1" s="102" t="str">
        <f>N1</f>
        <v>Potřeba:</v>
      </c>
      <c r="S1" s="99"/>
      <c r="T1" s="182"/>
      <c r="U1" s="182"/>
      <c r="V1" s="182"/>
      <c r="W1" s="182"/>
    </row>
    <row r="2" spans="1:23" ht="17.25" customHeight="1" x14ac:dyDescent="0.25">
      <c r="A2" s="12"/>
      <c r="B2" s="13" t="s">
        <v>74</v>
      </c>
      <c r="C2" s="229"/>
      <c r="D2" s="229"/>
      <c r="E2" s="152"/>
      <c r="F2" s="287"/>
      <c r="G2" s="288"/>
      <c r="H2" s="182"/>
      <c r="I2" s="48"/>
      <c r="J2" s="48"/>
      <c r="K2" s="56"/>
      <c r="L2" s="48"/>
      <c r="M2" s="182"/>
      <c r="N2" s="227" t="s">
        <v>40</v>
      </c>
      <c r="O2" s="227"/>
      <c r="P2" s="118">
        <f>IF(C8=0,0,P54)</f>
        <v>0</v>
      </c>
      <c r="Q2" s="103">
        <f>P2</f>
        <v>0</v>
      </c>
      <c r="R2" s="103">
        <f>P1</f>
        <v>0</v>
      </c>
      <c r="S2" s="99"/>
      <c r="T2" s="182"/>
      <c r="U2" s="182"/>
      <c r="V2" s="182"/>
      <c r="W2" s="182"/>
    </row>
    <row r="3" spans="1:23" ht="6" customHeight="1" x14ac:dyDescent="0.25">
      <c r="A3" s="12"/>
      <c r="B3" s="41"/>
      <c r="C3" s="41"/>
      <c r="D3" s="41"/>
      <c r="E3" s="41"/>
      <c r="F3" s="90"/>
      <c r="G3" s="90"/>
      <c r="H3" s="90"/>
      <c r="I3" s="90"/>
      <c r="J3" s="90"/>
      <c r="K3" s="90"/>
      <c r="L3" s="90"/>
      <c r="M3" s="41"/>
      <c r="N3" s="197"/>
      <c r="O3" s="116"/>
      <c r="P3" s="119"/>
      <c r="Q3" s="41"/>
      <c r="R3" s="41"/>
      <c r="S3" s="41"/>
      <c r="T3" s="41"/>
      <c r="U3" s="41"/>
      <c r="V3" s="182"/>
      <c r="W3" s="182"/>
    </row>
    <row r="4" spans="1:23" ht="15.95" customHeight="1" x14ac:dyDescent="0.25">
      <c r="A4" s="12"/>
      <c r="B4" s="84" t="s">
        <v>165</v>
      </c>
      <c r="C4" s="85" t="str">
        <f>IF(C8=0,"",IF(P4&lt;0,"nesplněna","splněna"))</f>
        <v/>
      </c>
      <c r="D4" s="90"/>
      <c r="E4" s="90"/>
      <c r="F4" s="170">
        <f>IF(P1&gt;0,P1*C8,0)</f>
        <v>0</v>
      </c>
      <c r="G4" s="160" t="str">
        <f>IF(F4=0,"","ha (rozsah potřebných opatření)")</f>
        <v/>
      </c>
      <c r="H4" s="182"/>
      <c r="I4" s="86"/>
      <c r="J4" s="86"/>
      <c r="K4" s="86"/>
      <c r="L4" s="182"/>
      <c r="M4" s="182"/>
      <c r="N4" s="228" t="s">
        <v>86</v>
      </c>
      <c r="O4" s="228"/>
      <c r="P4" s="142">
        <f>IF(C8=0,0,(P2-P1))</f>
        <v>0</v>
      </c>
      <c r="Q4" s="182"/>
      <c r="R4" s="211" t="s">
        <v>123</v>
      </c>
      <c r="S4" s="41"/>
      <c r="T4" s="182"/>
      <c r="U4" s="182"/>
      <c r="V4" s="182"/>
      <c r="W4" s="182"/>
    </row>
    <row r="5" spans="1:23" ht="15.95" customHeight="1" x14ac:dyDescent="0.25">
      <c r="A5" s="12"/>
      <c r="B5" s="84" t="s">
        <v>27</v>
      </c>
      <c r="C5" s="85" t="str">
        <f>IF(C8=0,"",IF(R55&lt;0,"záporná",IF(R55&lt;0.5,"vyrovnaná","zlepšující")))</f>
        <v/>
      </c>
      <c r="D5" s="87"/>
      <c r="E5" s="87"/>
      <c r="F5" s="170">
        <f>P2*C8</f>
        <v>0</v>
      </c>
      <c r="G5" s="160" t="str">
        <f>IF(F5&gt;0,"ha (rozsah provedených opatření)","")</f>
        <v/>
      </c>
      <c r="H5" s="86"/>
      <c r="I5" s="86"/>
      <c r="J5" s="86"/>
      <c r="K5" s="86"/>
      <c r="L5" s="86"/>
      <c r="M5" s="20"/>
      <c r="N5" s="20"/>
      <c r="O5" s="20"/>
      <c r="P5" s="49"/>
      <c r="Q5" s="49"/>
      <c r="R5" s="211"/>
      <c r="S5" s="41"/>
      <c r="T5" s="182"/>
      <c r="U5" s="182"/>
      <c r="V5" s="182"/>
      <c r="W5" s="182"/>
    </row>
    <row r="6" spans="1:23" ht="5.25" customHeight="1" x14ac:dyDescent="0.25">
      <c r="A6" s="12"/>
      <c r="B6" s="88"/>
      <c r="C6" s="89"/>
      <c r="D6" s="89"/>
      <c r="E6" s="89"/>
      <c r="F6" s="65"/>
      <c r="G6" s="198"/>
      <c r="H6" s="89"/>
      <c r="I6" s="89"/>
      <c r="J6" s="89"/>
      <c r="K6" s="89"/>
      <c r="L6" s="89"/>
      <c r="M6" s="48"/>
      <c r="N6" s="48"/>
      <c r="O6" s="90"/>
      <c r="P6" s="49"/>
      <c r="Q6" s="49"/>
      <c r="R6" s="211"/>
      <c r="S6" s="88"/>
      <c r="T6" s="89"/>
      <c r="U6" s="90"/>
      <c r="V6" s="182"/>
      <c r="W6" s="182"/>
    </row>
    <row r="7" spans="1:23" ht="13.5" customHeight="1" x14ac:dyDescent="0.25">
      <c r="A7" s="12"/>
      <c r="B7" s="289" t="s">
        <v>166</v>
      </c>
      <c r="C7" s="290" t="s">
        <v>15</v>
      </c>
      <c r="D7" s="53"/>
      <c r="E7" s="53"/>
      <c r="F7" s="168" t="str">
        <f>IF(C8=0,"",IF(F4=0,"",IF(F5/F4&gt;1,"",IF(F5=0,0,F5/F4))))</f>
        <v/>
      </c>
      <c r="G7" s="160" t="str">
        <f>IF(F7="","",IF(F4=0,"",IF(F5=0,"","plnění")))</f>
        <v/>
      </c>
      <c r="H7" s="53"/>
      <c r="I7" s="53"/>
      <c r="J7" s="53"/>
      <c r="K7" s="53"/>
      <c r="L7" s="53"/>
      <c r="M7" s="65"/>
      <c r="N7" s="65"/>
      <c r="O7" s="41"/>
      <c r="P7" s="213" t="s">
        <v>36</v>
      </c>
      <c r="Q7" s="214"/>
      <c r="R7" s="211"/>
      <c r="S7" s="46"/>
      <c r="T7" s="41"/>
      <c r="U7" s="41"/>
      <c r="V7" s="182"/>
      <c r="W7" s="182"/>
    </row>
    <row r="8" spans="1:23" ht="12.95" customHeight="1" thickBot="1" x14ac:dyDescent="0.3">
      <c r="A8" s="12"/>
      <c r="B8" s="14" t="s">
        <v>88</v>
      </c>
      <c r="C8" s="78"/>
      <c r="D8" s="291" t="s">
        <v>167</v>
      </c>
      <c r="E8" s="153"/>
      <c r="F8" s="296">
        <f>IF(C8=0,0,IF(P4&lt;0,IF(F7&lt;100%,IF(F4&lt;0,0,1-F7),0),0))</f>
        <v>0</v>
      </c>
      <c r="G8" s="297" t="str">
        <f>IF(F8=0,"","neplnění")</f>
        <v/>
      </c>
      <c r="H8" s="91"/>
      <c r="I8" s="91"/>
      <c r="J8" s="91"/>
      <c r="K8" s="91"/>
      <c r="L8" s="91"/>
      <c r="M8" s="212" t="s">
        <v>30</v>
      </c>
      <c r="N8" s="212"/>
      <c r="O8" s="212"/>
      <c r="P8" s="69" t="str">
        <f>IF(C8=0,"",(35%*C10+30%*(C9+C11))/C8)</f>
        <v/>
      </c>
      <c r="Q8" s="177" t="str">
        <f>IF(C8=0,"",C8*P8)</f>
        <v/>
      </c>
      <c r="R8" s="71" t="str">
        <f>IF(C$8=0,"",((30*0.165)*Q8)/C$8)</f>
        <v/>
      </c>
      <c r="S8" s="41"/>
      <c r="T8" s="41"/>
      <c r="U8" s="41"/>
      <c r="V8" s="199"/>
      <c r="W8" s="182"/>
    </row>
    <row r="9" spans="1:23" ht="13.7" customHeight="1" thickBot="1" x14ac:dyDescent="0.3">
      <c r="A9" s="12"/>
      <c r="B9" s="14" t="s">
        <v>87</v>
      </c>
      <c r="C9" s="78"/>
      <c r="D9" s="223" t="s">
        <v>147</v>
      </c>
      <c r="E9" s="154"/>
      <c r="F9" s="298"/>
      <c r="G9" s="299" t="str">
        <f>IF(C8=0,"",IF(P1&lt;0,"podmínka splněna",IF(F7=100%,"podmínka splněna",IF(F7&gt;100%,"podmínka splněna",IF(F8&gt;15%,IF(F8&gt;25%,IF(F8&gt;50%,"ekoplatba se neposkytne","snížení ekoplatby o 50 %"),"snížení ekoplatby o 10 %"),"snížení ekoplatby o 5 %")))))</f>
        <v/>
      </c>
      <c r="H9" s="92"/>
      <c r="I9" s="92"/>
      <c r="J9" s="92"/>
      <c r="K9" s="92"/>
      <c r="L9" s="92"/>
      <c r="M9" s="216" t="s">
        <v>31</v>
      </c>
      <c r="N9" s="216"/>
      <c r="O9" s="217"/>
      <c r="P9" s="104" t="str">
        <f>P18</f>
        <v/>
      </c>
      <c r="Q9" s="178" t="str">
        <f>Q18</f>
        <v/>
      </c>
      <c r="R9" s="111" t="str">
        <f>R18</f>
        <v/>
      </c>
      <c r="S9" s="41"/>
      <c r="T9" s="41"/>
      <c r="U9" s="41"/>
      <c r="V9" s="18"/>
      <c r="W9" s="182"/>
    </row>
    <row r="10" spans="1:23" ht="13.7" customHeight="1" x14ac:dyDescent="0.25">
      <c r="A10" s="12"/>
      <c r="B10" s="14" t="s">
        <v>118</v>
      </c>
      <c r="C10" s="144">
        <f>C8-C9-C11</f>
        <v>0</v>
      </c>
      <c r="D10" s="223"/>
      <c r="E10" s="154"/>
      <c r="F10" s="275" t="s">
        <v>129</v>
      </c>
      <c r="G10" s="275"/>
      <c r="H10" s="92"/>
      <c r="I10" s="92"/>
      <c r="J10" s="92"/>
      <c r="K10" s="92"/>
      <c r="L10" s="92"/>
      <c r="M10" s="146"/>
      <c r="N10" s="146"/>
      <c r="O10" s="146"/>
      <c r="P10" s="147"/>
      <c r="Q10" s="148"/>
      <c r="R10" s="149"/>
      <c r="S10" s="41"/>
      <c r="T10" s="41"/>
      <c r="U10" s="41"/>
      <c r="V10" s="18"/>
      <c r="W10" s="182"/>
    </row>
    <row r="11" spans="1:23" ht="13.7" customHeight="1" x14ac:dyDescent="0.25">
      <c r="A11" s="12"/>
      <c r="B11" s="14" t="s">
        <v>119</v>
      </c>
      <c r="C11" s="78"/>
      <c r="D11" s="223"/>
      <c r="E11" s="154"/>
      <c r="F11" s="275"/>
      <c r="G11" s="275"/>
      <c r="H11" s="92"/>
      <c r="I11" s="92"/>
      <c r="J11" s="92"/>
      <c r="K11" s="92"/>
      <c r="L11" s="92"/>
      <c r="M11" s="63"/>
      <c r="N11" s="64"/>
      <c r="O11" s="93"/>
      <c r="P11" s="66"/>
      <c r="Q11" s="67"/>
      <c r="R11" s="72"/>
      <c r="S11" s="41"/>
      <c r="T11" s="41"/>
      <c r="U11" s="41"/>
      <c r="V11" s="18"/>
      <c r="W11" s="182"/>
    </row>
    <row r="12" spans="1:23" ht="6" customHeight="1" x14ac:dyDescent="0.25">
      <c r="A12" s="12"/>
      <c r="B12" s="15"/>
      <c r="C12" s="42"/>
      <c r="D12" s="58"/>
      <c r="E12" s="58"/>
      <c r="F12" s="275"/>
      <c r="G12" s="275"/>
      <c r="H12" s="54"/>
      <c r="I12" s="54"/>
      <c r="J12" s="54"/>
      <c r="K12" s="54"/>
      <c r="L12" s="54"/>
      <c r="M12" s="19"/>
      <c r="N12" s="19"/>
      <c r="O12" s="19"/>
      <c r="P12" s="41"/>
      <c r="Q12" s="41"/>
      <c r="R12" s="73"/>
      <c r="S12" s="45"/>
      <c r="T12" s="200"/>
      <c r="U12" s="200"/>
      <c r="V12" s="201"/>
      <c r="W12" s="182"/>
    </row>
    <row r="13" spans="1:23" ht="14.45" customHeight="1" x14ac:dyDescent="0.25">
      <c r="A13" s="12"/>
      <c r="B13" s="292" t="s">
        <v>168</v>
      </c>
      <c r="C13" s="290" t="s">
        <v>15</v>
      </c>
      <c r="D13" s="291" t="s">
        <v>169</v>
      </c>
      <c r="E13" s="153"/>
      <c r="F13" s="276" t="s">
        <v>104</v>
      </c>
      <c r="G13" s="276" t="s">
        <v>105</v>
      </c>
      <c r="H13" s="224"/>
      <c r="I13" s="224"/>
      <c r="J13" s="224"/>
      <c r="K13" s="94"/>
      <c r="L13" s="292" t="s">
        <v>168</v>
      </c>
      <c r="M13" s="195" t="s">
        <v>32</v>
      </c>
      <c r="N13" s="195" t="s">
        <v>28</v>
      </c>
      <c r="O13" s="218" t="s">
        <v>37</v>
      </c>
      <c r="P13" s="215" t="s">
        <v>25</v>
      </c>
      <c r="Q13" s="215"/>
      <c r="R13" s="202" t="s">
        <v>124</v>
      </c>
      <c r="S13" s="41"/>
      <c r="T13" s="41"/>
      <c r="U13" s="41"/>
      <c r="V13" s="201"/>
      <c r="W13" s="182"/>
    </row>
    <row r="14" spans="1:23" ht="14.45" customHeight="1" x14ac:dyDescent="0.25">
      <c r="A14" s="12"/>
      <c r="B14" s="14" t="s">
        <v>116</v>
      </c>
      <c r="C14" s="79"/>
      <c r="D14" s="196" t="s">
        <v>151</v>
      </c>
      <c r="E14" s="154"/>
      <c r="F14" s="277" t="s">
        <v>106</v>
      </c>
      <c r="G14" s="278" t="s">
        <v>102</v>
      </c>
      <c r="H14" s="224"/>
      <c r="I14" s="224"/>
      <c r="J14" s="224"/>
      <c r="K14" s="94"/>
      <c r="L14" s="14" t="s">
        <v>152</v>
      </c>
      <c r="M14" s="16">
        <v>0.45</v>
      </c>
      <c r="N14" s="17">
        <f>IF(C$8=0,0,C14/C$8)</f>
        <v>0</v>
      </c>
      <c r="O14" s="219"/>
      <c r="P14" s="11">
        <f>IF($N14=0,0,$N14*M14)</f>
        <v>0</v>
      </c>
      <c r="Q14" s="171">
        <f>C14*M14</f>
        <v>0</v>
      </c>
      <c r="R14" s="71" t="str">
        <f>IF(C$8=0,"",((30*0.165)*Q14)/C$8)</f>
        <v/>
      </c>
      <c r="S14" s="41"/>
      <c r="T14" s="41"/>
      <c r="U14" s="41"/>
      <c r="V14" s="201"/>
      <c r="W14" s="182"/>
    </row>
    <row r="15" spans="1:23" ht="14.45" customHeight="1" x14ac:dyDescent="0.25">
      <c r="A15" s="12"/>
      <c r="B15" s="14" t="s">
        <v>35</v>
      </c>
      <c r="C15" s="78"/>
      <c r="D15" s="196" t="s">
        <v>153</v>
      </c>
      <c r="E15" s="154"/>
      <c r="F15" s="277" t="s">
        <v>108</v>
      </c>
      <c r="G15" s="278" t="s">
        <v>103</v>
      </c>
      <c r="H15" s="224"/>
      <c r="I15" s="224"/>
      <c r="J15" s="224"/>
      <c r="K15" s="94"/>
      <c r="L15" s="14" t="s">
        <v>35</v>
      </c>
      <c r="M15" s="16">
        <v>0.25</v>
      </c>
      <c r="N15" s="17">
        <f>IF(C$8=0,0,C15/C$8)</f>
        <v>0</v>
      </c>
      <c r="O15" s="219"/>
      <c r="P15" s="11">
        <f>IF($N15=0,0,$N15*M15)</f>
        <v>0</v>
      </c>
      <c r="Q15" s="171">
        <f>C15*M15</f>
        <v>0</v>
      </c>
      <c r="R15" s="71" t="str">
        <f>IF(C$8=0,"",((30*0.165)*Q15)/C$8)</f>
        <v/>
      </c>
      <c r="S15" s="41"/>
      <c r="T15" s="41"/>
      <c r="U15" s="41"/>
      <c r="V15" s="201"/>
      <c r="W15" s="182"/>
    </row>
    <row r="16" spans="1:23" ht="14.45" customHeight="1" x14ac:dyDescent="0.25">
      <c r="A16" s="12"/>
      <c r="B16" s="14" t="s">
        <v>154</v>
      </c>
      <c r="C16" s="78"/>
      <c r="D16" s="196" t="s">
        <v>155</v>
      </c>
      <c r="E16" s="154"/>
      <c r="F16" s="277" t="s">
        <v>109</v>
      </c>
      <c r="G16" s="278" t="s">
        <v>107</v>
      </c>
      <c r="H16" s="224"/>
      <c r="I16" s="224"/>
      <c r="J16" s="224"/>
      <c r="K16" s="94"/>
      <c r="L16" s="14" t="s">
        <v>154</v>
      </c>
      <c r="M16" s="16">
        <v>-0.9</v>
      </c>
      <c r="N16" s="17">
        <f>IF(C$8=0,0,C16/C$8)</f>
        <v>0</v>
      </c>
      <c r="O16" s="219"/>
      <c r="P16" s="11">
        <f>IF($N16=0,0,$N16*M16)</f>
        <v>0</v>
      </c>
      <c r="Q16" s="171">
        <f>C16*M16</f>
        <v>0</v>
      </c>
      <c r="R16" s="71" t="str">
        <f>IF(C$8=0,"",((30*0.165)*Q16)/C$8)</f>
        <v/>
      </c>
      <c r="S16" s="41"/>
      <c r="T16" s="41"/>
      <c r="U16" s="41"/>
      <c r="V16" s="201"/>
      <c r="W16" s="182"/>
    </row>
    <row r="17" spans="1:31" ht="14.45" customHeight="1" x14ac:dyDescent="0.25">
      <c r="A17" s="12"/>
      <c r="B17" s="14" t="s">
        <v>156</v>
      </c>
      <c r="C17" s="78"/>
      <c r="D17" s="196" t="s">
        <v>157</v>
      </c>
      <c r="E17" s="154"/>
      <c r="F17" s="277" t="s">
        <v>110</v>
      </c>
      <c r="G17" s="278" t="s">
        <v>130</v>
      </c>
      <c r="H17" s="224"/>
      <c r="I17" s="224"/>
      <c r="J17" s="224"/>
      <c r="K17" s="94"/>
      <c r="L17" s="14" t="s">
        <v>156</v>
      </c>
      <c r="M17" s="16">
        <v>-0.7</v>
      </c>
      <c r="N17" s="17">
        <f>IF(C$8=0,0,C17/C$8)</f>
        <v>0</v>
      </c>
      <c r="O17" s="220"/>
      <c r="P17" s="11">
        <f>IF($N17=0,0,$N17*M17)</f>
        <v>0</v>
      </c>
      <c r="Q17" s="171">
        <f>C17*M17</f>
        <v>0</v>
      </c>
      <c r="R17" s="71" t="str">
        <f>IF(C$8=0,"",((30*0.165)*Q17)/C$8)</f>
        <v/>
      </c>
      <c r="S17" s="41"/>
      <c r="T17" s="41"/>
      <c r="U17" s="41"/>
      <c r="V17" s="201"/>
      <c r="W17" s="182"/>
    </row>
    <row r="18" spans="1:31" ht="12.75" customHeight="1" x14ac:dyDescent="0.25">
      <c r="A18" s="12"/>
      <c r="B18" s="169" t="str">
        <f>IF(F8=100%,"doplňte rozsah opatření (jinak zůstane 100% neplnění):","")</f>
        <v/>
      </c>
      <c r="C18" s="193" t="str">
        <f>IF(F8=100%,"↓","")</f>
        <v/>
      </c>
      <c r="D18" s="59"/>
      <c r="E18" s="59"/>
      <c r="F18" s="279" t="s">
        <v>120</v>
      </c>
      <c r="G18" s="279"/>
      <c r="H18" s="203"/>
      <c r="I18" s="225"/>
      <c r="J18" s="225"/>
      <c r="K18" s="95"/>
      <c r="L18" s="41"/>
      <c r="M18" s="41"/>
      <c r="N18" s="41"/>
      <c r="O18" s="116" t="s">
        <v>98</v>
      </c>
      <c r="P18" s="68" t="str">
        <f>IF(C8=0,"",P8+P14+P15+P16+P17)</f>
        <v/>
      </c>
      <c r="Q18" s="172" t="str">
        <f>IF(C8=0,"",Q8+Q14+Q15+Q16+Q17)</f>
        <v/>
      </c>
      <c r="R18" s="74" t="str">
        <f>IF(C$8=0,"",((30*0.165)*Q18)/C$8)</f>
        <v/>
      </c>
      <c r="S18" s="44"/>
      <c r="T18" s="41"/>
      <c r="U18" s="41"/>
      <c r="V18" s="182"/>
      <c r="W18" s="182"/>
    </row>
    <row r="19" spans="1:31" ht="1.7" customHeight="1" x14ac:dyDescent="0.25">
      <c r="A19" s="12"/>
      <c r="B19" s="19"/>
      <c r="C19" s="19"/>
      <c r="D19" s="60"/>
      <c r="E19" s="60"/>
      <c r="F19" s="277"/>
      <c r="G19" s="277"/>
      <c r="H19" s="28"/>
      <c r="I19" s="225"/>
      <c r="J19" s="225"/>
      <c r="K19" s="95"/>
      <c r="L19" s="19"/>
      <c r="M19" s="19"/>
      <c r="N19" s="19"/>
      <c r="O19" s="19"/>
      <c r="P19" s="41"/>
      <c r="Q19" s="41"/>
      <c r="R19" s="73"/>
      <c r="S19" s="41"/>
      <c r="T19" s="41"/>
      <c r="U19" s="41"/>
      <c r="V19" s="182"/>
      <c r="W19" s="182"/>
    </row>
    <row r="20" spans="1:31" ht="13.5" customHeight="1" x14ac:dyDescent="0.25">
      <c r="A20" s="12"/>
      <c r="B20" s="293" t="s">
        <v>170</v>
      </c>
      <c r="C20" s="294" t="s">
        <v>29</v>
      </c>
      <c r="D20" s="291" t="s">
        <v>171</v>
      </c>
      <c r="E20" s="155"/>
      <c r="F20" s="280" t="s">
        <v>131</v>
      </c>
      <c r="G20" s="280"/>
      <c r="H20" s="204"/>
      <c r="I20" s="204"/>
      <c r="J20" s="204"/>
      <c r="K20" s="53"/>
      <c r="L20" s="293" t="s">
        <v>170</v>
      </c>
      <c r="M20" s="195" t="s">
        <v>32</v>
      </c>
      <c r="N20" s="195" t="s">
        <v>14</v>
      </c>
      <c r="O20" s="195" t="s">
        <v>33</v>
      </c>
      <c r="P20" s="195"/>
      <c r="Q20" s="77" t="s">
        <v>34</v>
      </c>
      <c r="R20" s="70" t="s">
        <v>125</v>
      </c>
      <c r="S20" s="101" t="s">
        <v>38</v>
      </c>
      <c r="T20" s="41"/>
      <c r="U20" s="41"/>
      <c r="V20" s="205"/>
      <c r="W20" s="205"/>
      <c r="X20" s="5"/>
      <c r="Y20" s="5"/>
      <c r="Z20" s="5"/>
      <c r="AA20" s="5"/>
    </row>
    <row r="21" spans="1:31" ht="12.95" customHeight="1" x14ac:dyDescent="0.25">
      <c r="A21" s="12"/>
      <c r="B21" s="21" t="s">
        <v>13</v>
      </c>
      <c r="C21" s="78"/>
      <c r="D21" s="222" t="s">
        <v>128</v>
      </c>
      <c r="E21" s="156"/>
      <c r="F21" s="280" t="s">
        <v>163</v>
      </c>
      <c r="G21" s="280"/>
      <c r="H21" s="28"/>
      <c r="I21" s="82">
        <v>0.22</v>
      </c>
      <c r="J21" s="82"/>
      <c r="K21" s="66"/>
      <c r="L21" s="21" t="str">
        <f>B21</f>
        <v xml:space="preserve">Hnůj, separát kejdy </v>
      </c>
      <c r="M21" s="16">
        <v>1</v>
      </c>
      <c r="N21" s="22">
        <v>30</v>
      </c>
      <c r="O21" s="11">
        <v>0.22</v>
      </c>
      <c r="P21" s="11">
        <f>J21</f>
        <v>0</v>
      </c>
      <c r="Q21" s="171">
        <f>(C21/N21)*M21</f>
        <v>0</v>
      </c>
      <c r="R21" s="71" t="str">
        <f t="shared" ref="R21:R36" si="0">IF(C$8=0,"",((30*0.165)*Q21)/C$8)</f>
        <v/>
      </c>
      <c r="S21" s="206"/>
      <c r="T21" s="41"/>
      <c r="U21" s="41"/>
      <c r="V21" s="6"/>
      <c r="W21" s="207"/>
      <c r="X21" s="8"/>
      <c r="Y21" s="9"/>
      <c r="Z21" s="7"/>
      <c r="AA21" s="8"/>
    </row>
    <row r="22" spans="1:31" ht="12.95" customHeight="1" x14ac:dyDescent="0.25">
      <c r="A22" s="12"/>
      <c r="B22" s="21" t="s">
        <v>12</v>
      </c>
      <c r="C22" s="78"/>
      <c r="D22" s="222"/>
      <c r="E22" s="156"/>
      <c r="F22" s="182"/>
      <c r="G22" s="158"/>
      <c r="H22" s="28"/>
      <c r="I22" s="82">
        <v>0.23</v>
      </c>
      <c r="J22" s="82"/>
      <c r="K22" s="66"/>
      <c r="L22" s="21" t="str">
        <f t="shared" ref="L22:L36" si="1">B22</f>
        <v>Separát digestátu, tuhý digestát</v>
      </c>
      <c r="M22" s="16">
        <v>0.75</v>
      </c>
      <c r="N22" s="22">
        <v>25</v>
      </c>
      <c r="O22" s="11">
        <v>0.23</v>
      </c>
      <c r="P22" s="11">
        <f t="shared" ref="P22:P36" si="2">J22</f>
        <v>0</v>
      </c>
      <c r="Q22" s="171">
        <f t="shared" ref="Q22:Q36" si="3">(C22/N22)*M22</f>
        <v>0</v>
      </c>
      <c r="R22" s="71" t="str">
        <f t="shared" si="0"/>
        <v/>
      </c>
      <c r="S22" s="206"/>
      <c r="T22" s="41"/>
      <c r="U22" s="41"/>
      <c r="V22" s="6"/>
      <c r="W22" s="207"/>
      <c r="X22" s="8"/>
      <c r="Y22" s="9"/>
      <c r="Z22" s="7"/>
      <c r="AA22" s="8"/>
    </row>
    <row r="23" spans="1:31" ht="12.95" customHeight="1" x14ac:dyDescent="0.25">
      <c r="A23" s="12"/>
      <c r="B23" s="21" t="s">
        <v>19</v>
      </c>
      <c r="C23" s="78"/>
      <c r="D23" s="222"/>
      <c r="E23" s="156"/>
      <c r="F23" s="182"/>
      <c r="G23" s="158"/>
      <c r="H23" s="28"/>
      <c r="I23" s="82">
        <v>0.4</v>
      </c>
      <c r="J23" s="82"/>
      <c r="K23" s="66"/>
      <c r="L23" s="21" t="str">
        <f t="shared" si="1"/>
        <v>Kompost s poměrem C:N 10 a vyšším</v>
      </c>
      <c r="M23" s="16">
        <v>1</v>
      </c>
      <c r="N23" s="22">
        <v>15</v>
      </c>
      <c r="O23" s="11">
        <v>0.4</v>
      </c>
      <c r="P23" s="11">
        <f t="shared" si="2"/>
        <v>0</v>
      </c>
      <c r="Q23" s="171">
        <f t="shared" si="3"/>
        <v>0</v>
      </c>
      <c r="R23" s="71" t="str">
        <f t="shared" si="0"/>
        <v/>
      </c>
      <c r="S23" s="206"/>
      <c r="T23" s="41"/>
      <c r="U23" s="41"/>
      <c r="V23" s="6"/>
      <c r="W23" s="207"/>
      <c r="X23" s="8"/>
      <c r="Y23" s="10"/>
      <c r="Z23" s="7"/>
      <c r="AA23" s="8"/>
    </row>
    <row r="24" spans="1:31" ht="12.95" customHeight="1" x14ac:dyDescent="0.25">
      <c r="A24" s="12"/>
      <c r="B24" s="21" t="s">
        <v>158</v>
      </c>
      <c r="C24" s="78"/>
      <c r="D24" s="222"/>
      <c r="E24" s="156"/>
      <c r="F24" s="182"/>
      <c r="G24" s="183"/>
      <c r="H24" s="28"/>
      <c r="I24" s="82">
        <v>0.4</v>
      </c>
      <c r="J24" s="82"/>
      <c r="K24" s="66"/>
      <c r="L24" s="21" t="str">
        <f t="shared" si="1"/>
        <v>Kompost s poměrem C:N nižším než 10</v>
      </c>
      <c r="M24" s="16">
        <v>0.65</v>
      </c>
      <c r="N24" s="22">
        <v>15</v>
      </c>
      <c r="O24" s="11">
        <v>0.4</v>
      </c>
      <c r="P24" s="11">
        <f t="shared" si="2"/>
        <v>0</v>
      </c>
      <c r="Q24" s="171">
        <f t="shared" si="3"/>
        <v>0</v>
      </c>
      <c r="R24" s="71" t="str">
        <f t="shared" si="0"/>
        <v/>
      </c>
      <c r="S24" s="206"/>
      <c r="T24" s="41"/>
      <c r="U24" s="41"/>
      <c r="V24" s="6"/>
      <c r="W24" s="207"/>
      <c r="X24" s="8"/>
      <c r="Y24" s="10"/>
      <c r="Z24" s="7"/>
      <c r="AA24" s="8"/>
    </row>
    <row r="25" spans="1:31" ht="12.95" customHeight="1" x14ac:dyDescent="0.25">
      <c r="A25" s="12"/>
      <c r="B25" s="21" t="s">
        <v>11</v>
      </c>
      <c r="C25" s="78"/>
      <c r="D25" s="222"/>
      <c r="E25" s="156"/>
      <c r="F25" s="182"/>
      <c r="G25" s="158"/>
      <c r="H25" s="28"/>
      <c r="I25" s="82"/>
      <c r="J25" s="184"/>
      <c r="K25" s="83"/>
      <c r="L25" s="21" t="str">
        <f t="shared" si="1"/>
        <v>Upravený kal (ve 100% sušině)</v>
      </c>
      <c r="M25" s="16">
        <v>0.4</v>
      </c>
      <c r="N25" s="22">
        <v>5</v>
      </c>
      <c r="O25" s="11">
        <v>1</v>
      </c>
      <c r="P25" s="23"/>
      <c r="Q25" s="171">
        <f t="shared" si="3"/>
        <v>0</v>
      </c>
      <c r="R25" s="71" t="str">
        <f t="shared" si="0"/>
        <v/>
      </c>
      <c r="S25" s="206"/>
      <c r="T25" s="41"/>
      <c r="U25" s="41"/>
      <c r="V25" s="6"/>
      <c r="W25" s="207"/>
      <c r="X25" s="8"/>
      <c r="Y25" s="10"/>
      <c r="Z25" s="7"/>
      <c r="AA25" s="8"/>
      <c r="AE25" s="4"/>
    </row>
    <row r="26" spans="1:31" ht="12.95" customHeight="1" x14ac:dyDescent="0.25">
      <c r="A26" s="12"/>
      <c r="B26" s="21" t="s">
        <v>3</v>
      </c>
      <c r="C26" s="79"/>
      <c r="D26" s="222"/>
      <c r="E26" s="156"/>
      <c r="F26" s="67"/>
      <c r="G26" s="67"/>
      <c r="H26" s="28"/>
      <c r="I26" s="82">
        <v>7.2999999999999995E-2</v>
      </c>
      <c r="J26" s="82"/>
      <c r="K26" s="82"/>
      <c r="L26" s="21" t="str">
        <f t="shared" si="1"/>
        <v>Kejda skotu</v>
      </c>
      <c r="M26" s="16">
        <v>0.18</v>
      </c>
      <c r="N26" s="22">
        <v>20</v>
      </c>
      <c r="O26" s="11">
        <v>7.2999999999999995E-2</v>
      </c>
      <c r="P26" s="11">
        <f t="shared" si="2"/>
        <v>0</v>
      </c>
      <c r="Q26" s="171">
        <f t="shared" si="3"/>
        <v>0</v>
      </c>
      <c r="R26" s="71" t="str">
        <f t="shared" si="0"/>
        <v/>
      </c>
      <c r="S26" s="206"/>
      <c r="T26" s="41"/>
      <c r="U26" s="41"/>
      <c r="V26" s="6"/>
      <c r="W26" s="207"/>
      <c r="X26" s="8"/>
      <c r="Y26" s="10"/>
      <c r="Z26" s="7"/>
      <c r="AA26" s="8"/>
      <c r="AE26" s="4"/>
    </row>
    <row r="27" spans="1:31" ht="12.95" customHeight="1" x14ac:dyDescent="0.25">
      <c r="A27" s="12"/>
      <c r="B27" s="21" t="s">
        <v>4</v>
      </c>
      <c r="C27" s="79"/>
      <c r="D27" s="222"/>
      <c r="E27" s="156"/>
      <c r="F27" s="67"/>
      <c r="G27" s="67"/>
      <c r="H27" s="28"/>
      <c r="I27" s="82">
        <v>5.8000000000000003E-2</v>
      </c>
      <c r="J27" s="82"/>
      <c r="K27" s="82"/>
      <c r="L27" s="21" t="str">
        <f t="shared" si="1"/>
        <v>Fugát kejdy skotu</v>
      </c>
      <c r="M27" s="16">
        <v>0.15</v>
      </c>
      <c r="N27" s="22">
        <v>20</v>
      </c>
      <c r="O27" s="11">
        <v>5.8000000000000003E-2</v>
      </c>
      <c r="P27" s="11">
        <f t="shared" si="2"/>
        <v>0</v>
      </c>
      <c r="Q27" s="171">
        <f t="shared" si="3"/>
        <v>0</v>
      </c>
      <c r="R27" s="71" t="str">
        <f t="shared" si="0"/>
        <v/>
      </c>
      <c r="S27" s="206"/>
      <c r="T27" s="41"/>
      <c r="U27" s="41"/>
      <c r="V27" s="6"/>
      <c r="W27" s="207"/>
      <c r="X27" s="8"/>
      <c r="Y27" s="10"/>
      <c r="Z27" s="7"/>
      <c r="AA27" s="8"/>
      <c r="AE27" s="4"/>
    </row>
    <row r="28" spans="1:31" ht="12.95" customHeight="1" x14ac:dyDescent="0.25">
      <c r="A28" s="12"/>
      <c r="B28" s="21" t="s">
        <v>5</v>
      </c>
      <c r="C28" s="79"/>
      <c r="D28" s="222"/>
      <c r="E28" s="156"/>
      <c r="F28" s="67"/>
      <c r="G28" s="67"/>
      <c r="H28" s="28"/>
      <c r="I28" s="82">
        <v>5.2999999999999999E-2</v>
      </c>
      <c r="J28" s="82"/>
      <c r="K28" s="82"/>
      <c r="L28" s="21" t="str">
        <f t="shared" si="1"/>
        <v>Kejda prasat</v>
      </c>
      <c r="M28" s="16">
        <v>0.1</v>
      </c>
      <c r="N28" s="22">
        <v>20</v>
      </c>
      <c r="O28" s="11">
        <v>5.2999999999999999E-2</v>
      </c>
      <c r="P28" s="11">
        <f t="shared" si="2"/>
        <v>0</v>
      </c>
      <c r="Q28" s="171">
        <f t="shared" si="3"/>
        <v>0</v>
      </c>
      <c r="R28" s="71" t="str">
        <f t="shared" si="0"/>
        <v/>
      </c>
      <c r="S28" s="206"/>
      <c r="T28" s="41"/>
      <c r="U28" s="41"/>
      <c r="V28" s="6"/>
      <c r="W28" s="207"/>
      <c r="X28" s="8"/>
      <c r="Y28" s="10"/>
      <c r="Z28" s="7"/>
      <c r="AA28" s="8"/>
      <c r="AE28" s="4"/>
    </row>
    <row r="29" spans="1:31" ht="12.95" customHeight="1" x14ac:dyDescent="0.25">
      <c r="A29" s="12"/>
      <c r="B29" s="21" t="s">
        <v>6</v>
      </c>
      <c r="C29" s="79"/>
      <c r="D29" s="222"/>
      <c r="E29" s="156"/>
      <c r="F29" s="67"/>
      <c r="G29" s="67"/>
      <c r="H29" s="28"/>
      <c r="I29" s="82">
        <v>3.4000000000000002E-2</v>
      </c>
      <c r="J29" s="82"/>
      <c r="K29" s="82"/>
      <c r="L29" s="21" t="str">
        <f t="shared" si="1"/>
        <v>Fugát kejdy prasat</v>
      </c>
      <c r="M29" s="16">
        <v>7.0000000000000007E-2</v>
      </c>
      <c r="N29" s="22">
        <v>20</v>
      </c>
      <c r="O29" s="11">
        <v>3.4000000000000002E-2</v>
      </c>
      <c r="P29" s="11">
        <f t="shared" si="2"/>
        <v>0</v>
      </c>
      <c r="Q29" s="171">
        <f t="shared" si="3"/>
        <v>0</v>
      </c>
      <c r="R29" s="71" t="str">
        <f t="shared" si="0"/>
        <v/>
      </c>
      <c r="S29" s="206"/>
      <c r="T29" s="41"/>
      <c r="U29" s="41"/>
      <c r="V29" s="6"/>
      <c r="W29" s="207"/>
      <c r="X29" s="8"/>
      <c r="Y29" s="10"/>
      <c r="Z29" s="7"/>
      <c r="AA29" s="8"/>
      <c r="AE29" s="4"/>
    </row>
    <row r="30" spans="1:31" ht="12.95" customHeight="1" x14ac:dyDescent="0.25">
      <c r="A30" s="12"/>
      <c r="B30" s="21" t="s">
        <v>7</v>
      </c>
      <c r="C30" s="78"/>
      <c r="D30" s="222"/>
      <c r="E30" s="156"/>
      <c r="F30" s="67"/>
      <c r="G30" s="67"/>
      <c r="H30" s="28"/>
      <c r="I30" s="82">
        <v>6.5000000000000002E-2</v>
      </c>
      <c r="J30" s="82"/>
      <c r="K30" s="82"/>
      <c r="L30" s="21" t="str">
        <f t="shared" si="1"/>
        <v>Digestát</v>
      </c>
      <c r="M30" s="16">
        <v>0.15</v>
      </c>
      <c r="N30" s="22">
        <v>20</v>
      </c>
      <c r="O30" s="11">
        <v>6.5000000000000002E-2</v>
      </c>
      <c r="P30" s="11">
        <f t="shared" si="2"/>
        <v>0</v>
      </c>
      <c r="Q30" s="171">
        <f t="shared" si="3"/>
        <v>0</v>
      </c>
      <c r="R30" s="71" t="str">
        <f t="shared" si="0"/>
        <v/>
      </c>
      <c r="S30" s="206"/>
      <c r="T30" s="41"/>
      <c r="U30" s="41"/>
      <c r="V30" s="6"/>
      <c r="W30" s="207"/>
      <c r="X30" s="8"/>
      <c r="Y30" s="10"/>
      <c r="Z30" s="7"/>
      <c r="AA30" s="8"/>
      <c r="AE30" s="4"/>
    </row>
    <row r="31" spans="1:31" ht="12.95" customHeight="1" x14ac:dyDescent="0.25">
      <c r="A31" s="12"/>
      <c r="B31" s="21" t="s">
        <v>8</v>
      </c>
      <c r="C31" s="78"/>
      <c r="D31" s="222"/>
      <c r="E31" s="156"/>
      <c r="F31" s="67"/>
      <c r="G31" s="67"/>
      <c r="H31" s="28"/>
      <c r="I31" s="82">
        <v>4.2999999999999997E-2</v>
      </c>
      <c r="J31" s="82"/>
      <c r="K31" s="82"/>
      <c r="L31" s="21" t="str">
        <f t="shared" si="1"/>
        <v>Fugát digestátu</v>
      </c>
      <c r="M31" s="16">
        <v>0.1</v>
      </c>
      <c r="N31" s="22">
        <v>20</v>
      </c>
      <c r="O31" s="11">
        <v>4.2999999999999997E-2</v>
      </c>
      <c r="P31" s="11">
        <f t="shared" si="2"/>
        <v>0</v>
      </c>
      <c r="Q31" s="171">
        <f t="shared" si="3"/>
        <v>0</v>
      </c>
      <c r="R31" s="71" t="str">
        <f t="shared" si="0"/>
        <v/>
      </c>
      <c r="S31" s="206"/>
      <c r="T31" s="41"/>
      <c r="U31" s="41"/>
      <c r="V31" s="6"/>
      <c r="W31" s="207"/>
      <c r="X31" s="8"/>
      <c r="Y31" s="10"/>
      <c r="Z31" s="7"/>
      <c r="AA31" s="8"/>
      <c r="AE31" s="4"/>
    </row>
    <row r="32" spans="1:31" ht="12.95" customHeight="1" x14ac:dyDescent="0.25">
      <c r="A32" s="12"/>
      <c r="B32" s="21" t="s">
        <v>9</v>
      </c>
      <c r="C32" s="78"/>
      <c r="D32" s="222"/>
      <c r="E32" s="156"/>
      <c r="F32" s="67"/>
      <c r="G32" s="67"/>
      <c r="H32" s="28"/>
      <c r="I32" s="82">
        <v>0.3</v>
      </c>
      <c r="J32" s="82"/>
      <c r="K32" s="82"/>
      <c r="L32" s="21" t="str">
        <f t="shared" si="1"/>
        <v>Výpalky melasové zahuštěné</v>
      </c>
      <c r="M32" s="16">
        <v>0.15</v>
      </c>
      <c r="N32" s="22">
        <v>5</v>
      </c>
      <c r="O32" s="11">
        <v>0.3</v>
      </c>
      <c r="P32" s="11">
        <f t="shared" si="2"/>
        <v>0</v>
      </c>
      <c r="Q32" s="171">
        <f t="shared" si="3"/>
        <v>0</v>
      </c>
      <c r="R32" s="71" t="str">
        <f t="shared" si="0"/>
        <v/>
      </c>
      <c r="S32" s="206"/>
      <c r="T32" s="41"/>
      <c r="U32" s="41"/>
      <c r="V32" s="6"/>
      <c r="W32" s="207"/>
      <c r="X32" s="8"/>
      <c r="Y32" s="10"/>
      <c r="Z32" s="7"/>
      <c r="AA32" s="8"/>
      <c r="AE32" s="4"/>
    </row>
    <row r="33" spans="1:31" ht="12.95" customHeight="1" x14ac:dyDescent="0.25">
      <c r="A33" s="12"/>
      <c r="B33" s="21" t="s">
        <v>10</v>
      </c>
      <c r="C33" s="78"/>
      <c r="D33" s="222"/>
      <c r="E33" s="156"/>
      <c r="F33" s="67"/>
      <c r="G33" s="67"/>
      <c r="H33" s="28"/>
      <c r="I33" s="82">
        <v>0.05</v>
      </c>
      <c r="J33" s="82"/>
      <c r="K33" s="82"/>
      <c r="L33" s="21" t="str">
        <f t="shared" si="1"/>
        <v>Výpalky lihovarnické</v>
      </c>
      <c r="M33" s="16">
        <v>0.1</v>
      </c>
      <c r="N33" s="22">
        <v>20</v>
      </c>
      <c r="O33" s="11">
        <v>0.05</v>
      </c>
      <c r="P33" s="11">
        <f t="shared" si="2"/>
        <v>0</v>
      </c>
      <c r="Q33" s="171">
        <f t="shared" si="3"/>
        <v>0</v>
      </c>
      <c r="R33" s="71" t="str">
        <f t="shared" si="0"/>
        <v/>
      </c>
      <c r="S33" s="206"/>
      <c r="T33" s="41"/>
      <c r="U33" s="41"/>
      <c r="V33" s="6"/>
      <c r="W33" s="207"/>
      <c r="X33" s="8"/>
      <c r="Y33" s="10"/>
      <c r="Z33" s="7"/>
      <c r="AA33" s="8"/>
      <c r="AE33" s="4"/>
    </row>
    <row r="34" spans="1:31" ht="12.95" customHeight="1" x14ac:dyDescent="0.25">
      <c r="A34" s="12"/>
      <c r="B34" s="21" t="s">
        <v>0</v>
      </c>
      <c r="C34" s="78"/>
      <c r="D34" s="222"/>
      <c r="E34" s="156"/>
      <c r="F34" s="67"/>
      <c r="G34" s="67"/>
      <c r="H34" s="28"/>
      <c r="I34" s="82">
        <v>0.73</v>
      </c>
      <c r="J34" s="82"/>
      <c r="K34" s="82"/>
      <c r="L34" s="21" t="str">
        <f t="shared" si="1"/>
        <v>Drůbeží trus sušený</v>
      </c>
      <c r="M34" s="16">
        <v>0.3</v>
      </c>
      <c r="N34" s="22">
        <v>5</v>
      </c>
      <c r="O34" s="11">
        <v>0.73</v>
      </c>
      <c r="P34" s="11">
        <f t="shared" si="2"/>
        <v>0</v>
      </c>
      <c r="Q34" s="171">
        <f t="shared" si="3"/>
        <v>0</v>
      </c>
      <c r="R34" s="71" t="str">
        <f t="shared" si="0"/>
        <v/>
      </c>
      <c r="S34" s="206"/>
      <c r="T34" s="41"/>
      <c r="U34" s="41"/>
      <c r="V34" s="6"/>
      <c r="W34" s="207"/>
      <c r="X34" s="8"/>
      <c r="Y34" s="10"/>
      <c r="Z34" s="7"/>
      <c r="AA34" s="8"/>
      <c r="AE34" s="4"/>
    </row>
    <row r="35" spans="1:31" ht="12.95" customHeight="1" x14ac:dyDescent="0.25">
      <c r="A35" s="12"/>
      <c r="B35" s="21" t="s">
        <v>1</v>
      </c>
      <c r="C35" s="78"/>
      <c r="D35" s="222"/>
      <c r="E35" s="156"/>
      <c r="F35" s="67"/>
      <c r="G35" s="67"/>
      <c r="H35" s="28"/>
      <c r="I35" s="82">
        <v>0.42</v>
      </c>
      <c r="J35" s="82"/>
      <c r="K35" s="82"/>
      <c r="L35" s="21" t="str">
        <f t="shared" si="1"/>
        <v>Drůbeží trus s podestýlkou</v>
      </c>
      <c r="M35" s="16">
        <v>0.17</v>
      </c>
      <c r="N35" s="22">
        <v>5</v>
      </c>
      <c r="O35" s="11">
        <v>0.42</v>
      </c>
      <c r="P35" s="11">
        <f t="shared" si="2"/>
        <v>0</v>
      </c>
      <c r="Q35" s="171">
        <f t="shared" si="3"/>
        <v>0</v>
      </c>
      <c r="R35" s="71" t="str">
        <f t="shared" si="0"/>
        <v/>
      </c>
      <c r="S35" s="206"/>
      <c r="T35" s="41"/>
      <c r="U35" s="41"/>
      <c r="V35" s="6"/>
      <c r="W35" s="207"/>
      <c r="X35" s="8"/>
      <c r="Y35" s="10"/>
      <c r="Z35" s="7"/>
      <c r="AA35" s="8"/>
      <c r="AE35" s="4"/>
    </row>
    <row r="36" spans="1:31" ht="12.95" customHeight="1" x14ac:dyDescent="0.25">
      <c r="A36" s="12"/>
      <c r="B36" s="21" t="s">
        <v>2</v>
      </c>
      <c r="C36" s="78"/>
      <c r="D36" s="222"/>
      <c r="E36" s="156"/>
      <c r="F36" s="67"/>
      <c r="G36" s="67"/>
      <c r="H36" s="28"/>
      <c r="I36" s="82">
        <v>0.32</v>
      </c>
      <c r="J36" s="82"/>
      <c r="K36" s="82"/>
      <c r="L36" s="21" t="str">
        <f t="shared" si="1"/>
        <v>Drůbeží trus uleželý</v>
      </c>
      <c r="M36" s="16">
        <v>0.13</v>
      </c>
      <c r="N36" s="22">
        <v>5</v>
      </c>
      <c r="O36" s="11">
        <v>0.32</v>
      </c>
      <c r="P36" s="11">
        <f t="shared" si="2"/>
        <v>0</v>
      </c>
      <c r="Q36" s="171">
        <f t="shared" si="3"/>
        <v>0</v>
      </c>
      <c r="R36" s="71" t="str">
        <f t="shared" si="0"/>
        <v/>
      </c>
      <c r="S36" s="206"/>
      <c r="T36" s="41"/>
      <c r="U36" s="41"/>
      <c r="V36" s="6"/>
      <c r="W36" s="207"/>
      <c r="X36" s="8"/>
      <c r="Y36" s="10"/>
      <c r="Z36" s="7"/>
      <c r="AA36" s="8"/>
      <c r="AE36" s="4"/>
    </row>
    <row r="37" spans="1:31" ht="13.35" customHeight="1" x14ac:dyDescent="0.25">
      <c r="A37" s="12"/>
      <c r="B37" s="169" t="str">
        <f>IF(F8=100%,"doplňte rozsah opatření (jinak zůstane 100% neplnění):","")</f>
        <v/>
      </c>
      <c r="C37" s="193" t="str">
        <f>IF(F8=100%,"↓","")</f>
        <v/>
      </c>
      <c r="D37" s="47"/>
      <c r="E37" s="47"/>
      <c r="F37" s="55"/>
      <c r="G37" s="55"/>
      <c r="H37" s="55"/>
      <c r="I37" s="55"/>
      <c r="J37" s="55"/>
      <c r="K37" s="55"/>
      <c r="L37" s="24" t="s">
        <v>23</v>
      </c>
      <c r="M37" s="25"/>
      <c r="N37" s="26"/>
      <c r="O37" s="27"/>
      <c r="P37" s="194"/>
      <c r="Q37" s="173">
        <f>SUM(Q21:Q36)</f>
        <v>0</v>
      </c>
      <c r="R37" s="74">
        <f>SUM(R21:R36)</f>
        <v>0</v>
      </c>
      <c r="S37" s="206"/>
      <c r="T37" s="41"/>
      <c r="U37" s="41"/>
      <c r="V37" s="182"/>
      <c r="W37" s="182"/>
    </row>
    <row r="38" spans="1:31" ht="1.5" customHeight="1" x14ac:dyDescent="0.25">
      <c r="A38" s="12"/>
      <c r="B38" s="28"/>
      <c r="C38" s="29"/>
      <c r="D38" s="47"/>
      <c r="E38" s="47"/>
      <c r="F38" s="56"/>
      <c r="G38" s="56"/>
      <c r="H38" s="56"/>
      <c r="I38" s="56"/>
      <c r="J38" s="56"/>
      <c r="K38" s="56"/>
      <c r="L38" s="28"/>
      <c r="M38" s="30"/>
      <c r="N38" s="31"/>
      <c r="O38" s="32"/>
      <c r="P38" s="33"/>
      <c r="Q38" s="34"/>
      <c r="R38" s="75"/>
      <c r="S38" s="206"/>
      <c r="T38" s="41"/>
      <c r="U38" s="41"/>
      <c r="V38" s="182"/>
      <c r="W38" s="182"/>
    </row>
    <row r="39" spans="1:31" ht="13.5" customHeight="1" x14ac:dyDescent="0.25">
      <c r="A39" s="12"/>
      <c r="B39" s="293" t="s">
        <v>172</v>
      </c>
      <c r="C39" s="294" t="s">
        <v>15</v>
      </c>
      <c r="D39" s="291" t="s">
        <v>173</v>
      </c>
      <c r="E39" s="155"/>
      <c r="F39" s="53"/>
      <c r="G39" s="53"/>
      <c r="H39" s="53"/>
      <c r="I39" s="53"/>
      <c r="J39" s="53"/>
      <c r="K39" s="53"/>
      <c r="L39" s="293" t="s">
        <v>172</v>
      </c>
      <c r="M39" s="195" t="s">
        <v>32</v>
      </c>
      <c r="N39" s="195"/>
      <c r="O39" s="70"/>
      <c r="P39" s="70"/>
      <c r="Q39" s="77" t="s">
        <v>34</v>
      </c>
      <c r="R39" s="70" t="s">
        <v>125</v>
      </c>
      <c r="S39" s="101" t="s">
        <v>38</v>
      </c>
      <c r="T39" s="41"/>
      <c r="U39" s="41"/>
      <c r="V39" s="182"/>
      <c r="W39" s="182"/>
    </row>
    <row r="40" spans="1:31" ht="57.6" customHeight="1" x14ac:dyDescent="0.25">
      <c r="A40" s="12"/>
      <c r="B40" s="208" t="s">
        <v>90</v>
      </c>
      <c r="C40" s="80"/>
      <c r="D40" s="196" t="s">
        <v>91</v>
      </c>
      <c r="E40" s="154"/>
      <c r="F40" s="92"/>
      <c r="G40" s="92"/>
      <c r="H40" s="92"/>
      <c r="I40" s="92"/>
      <c r="J40" s="92"/>
      <c r="K40" s="92"/>
      <c r="L40" s="208" t="str">
        <f>B40</f>
        <v>Sláma obilnin (vč. kukuřice na zrno a CCM), olejnin, luskovin a dalších plodin pěstovaných na zrno či semeno (veškerá sláma, bez ohledu na přidání dusíku) atd.</v>
      </c>
      <c r="M40" s="16">
        <v>0.5</v>
      </c>
      <c r="N40" s="17"/>
      <c r="O40" s="35"/>
      <c r="P40" s="35"/>
      <c r="Q40" s="171">
        <f t="shared" ref="Q40:Q51" si="4">C40*M40</f>
        <v>0</v>
      </c>
      <c r="R40" s="71" t="str">
        <f t="shared" ref="R40:R51" si="5">IF(C$8=0,"",((30*0.165)*Q40)/C$8)</f>
        <v/>
      </c>
      <c r="S40" s="206"/>
      <c r="T40" s="41"/>
      <c r="U40" s="41"/>
      <c r="V40" s="3"/>
      <c r="W40" s="182"/>
      <c r="X40" s="1"/>
      <c r="Z40" s="2"/>
      <c r="AA40" s="4"/>
    </row>
    <row r="41" spans="1:31" ht="28.7" customHeight="1" x14ac:dyDescent="0.25">
      <c r="A41" s="12"/>
      <c r="B41" s="21" t="s">
        <v>148</v>
      </c>
      <c r="C41" s="80"/>
      <c r="D41" s="196" t="s">
        <v>122</v>
      </c>
      <c r="E41" s="157"/>
      <c r="F41" s="92"/>
      <c r="G41" s="92"/>
      <c r="H41" s="92"/>
      <c r="I41" s="92"/>
      <c r="J41" s="92"/>
      <c r="K41" s="92"/>
      <c r="L41" s="208" t="str">
        <f t="shared" ref="L41:L51" si="6">B41</f>
        <v>… z toho kombinace: sláma obilnin + kejda, digestát, výpalky</v>
      </c>
      <c r="M41" s="16">
        <v>0.1</v>
      </c>
      <c r="N41" s="17"/>
      <c r="O41" s="35"/>
      <c r="P41" s="35"/>
      <c r="Q41" s="171">
        <f t="shared" si="4"/>
        <v>0</v>
      </c>
      <c r="R41" s="71" t="str">
        <f t="shared" si="5"/>
        <v/>
      </c>
      <c r="S41" s="206"/>
      <c r="T41" s="41"/>
      <c r="U41" s="41"/>
      <c r="V41" s="3"/>
      <c r="W41" s="182"/>
      <c r="X41" s="1"/>
      <c r="Y41" s="2"/>
      <c r="Z41" s="2"/>
      <c r="AA41" s="4"/>
    </row>
    <row r="42" spans="1:31" ht="12.95" customHeight="1" x14ac:dyDescent="0.25">
      <c r="A42" s="12"/>
      <c r="B42" s="21" t="s">
        <v>80</v>
      </c>
      <c r="C42" s="81"/>
      <c r="D42" s="98" t="s">
        <v>81</v>
      </c>
      <c r="E42" s="157"/>
      <c r="F42" s="92"/>
      <c r="G42" s="92"/>
      <c r="H42" s="92"/>
      <c r="I42" s="92"/>
      <c r="J42" s="92"/>
      <c r="K42" s="92"/>
      <c r="L42" s="208" t="str">
        <f t="shared" si="6"/>
        <v>Chrást, nesklizené hlavní plodiny</v>
      </c>
      <c r="M42" s="16">
        <v>0.25</v>
      </c>
      <c r="N42" s="17"/>
      <c r="O42" s="36"/>
      <c r="P42" s="36"/>
      <c r="Q42" s="171">
        <f t="shared" si="4"/>
        <v>0</v>
      </c>
      <c r="R42" s="71" t="str">
        <f t="shared" si="5"/>
        <v/>
      </c>
      <c r="S42" s="206"/>
      <c r="T42" s="41"/>
      <c r="U42" s="41"/>
      <c r="V42" s="3"/>
      <c r="W42" s="182"/>
      <c r="X42" s="1"/>
      <c r="Y42" s="2"/>
      <c r="Z42" s="2"/>
      <c r="AA42" s="4"/>
    </row>
    <row r="43" spans="1:31" ht="12.95" customHeight="1" x14ac:dyDescent="0.25">
      <c r="A43" s="12"/>
      <c r="B43" s="21" t="s">
        <v>92</v>
      </c>
      <c r="C43" s="80"/>
      <c r="D43" s="98" t="s">
        <v>16</v>
      </c>
      <c r="E43" s="157"/>
      <c r="F43" s="92"/>
      <c r="G43" s="92"/>
      <c r="H43" s="92"/>
      <c r="I43" s="92"/>
      <c r="J43" s="92"/>
      <c r="K43" s="92"/>
      <c r="L43" s="208" t="str">
        <f t="shared" si="6"/>
        <v>Nesklizený obrost víceletých pícnin</v>
      </c>
      <c r="M43" s="16">
        <v>0.2</v>
      </c>
      <c r="N43" s="17"/>
      <c r="O43" s="36"/>
      <c r="P43" s="36"/>
      <c r="Q43" s="171">
        <f t="shared" si="4"/>
        <v>0</v>
      </c>
      <c r="R43" s="71" t="str">
        <f t="shared" si="5"/>
        <v/>
      </c>
      <c r="S43" s="206"/>
      <c r="T43" s="41"/>
      <c r="U43" s="41"/>
      <c r="V43" s="3"/>
      <c r="W43" s="182"/>
      <c r="X43" s="1"/>
      <c r="Y43" s="2"/>
      <c r="Z43" s="2"/>
      <c r="AA43" s="4"/>
    </row>
    <row r="44" spans="1:31" ht="12.95" customHeight="1" x14ac:dyDescent="0.25">
      <c r="A44" s="12"/>
      <c r="B44" s="21" t="s">
        <v>132</v>
      </c>
      <c r="C44" s="80"/>
      <c r="D44" s="98" t="s">
        <v>82</v>
      </c>
      <c r="E44" s="157"/>
      <c r="F44" s="92"/>
      <c r="G44" s="92"/>
      <c r="H44" s="92"/>
      <c r="I44" s="92"/>
      <c r="J44" s="92"/>
      <c r="K44" s="92"/>
      <c r="L44" s="208" t="str">
        <f t="shared" si="6"/>
        <v xml:space="preserve">Meziplodiny na zelené hnojení – následuje ozimá plodina </v>
      </c>
      <c r="M44" s="16">
        <v>0.2</v>
      </c>
      <c r="N44" s="17"/>
      <c r="O44" s="36"/>
      <c r="P44" s="36"/>
      <c r="Q44" s="171">
        <f t="shared" si="4"/>
        <v>0</v>
      </c>
      <c r="R44" s="71" t="str">
        <f t="shared" si="5"/>
        <v/>
      </c>
      <c r="S44" s="206"/>
      <c r="T44" s="41"/>
      <c r="U44" s="41"/>
      <c r="V44" s="182"/>
      <c r="W44" s="182"/>
    </row>
    <row r="45" spans="1:31" ht="12.95" customHeight="1" x14ac:dyDescent="0.25">
      <c r="A45" s="12"/>
      <c r="B45" s="21" t="s">
        <v>133</v>
      </c>
      <c r="C45" s="80"/>
      <c r="D45" s="98" t="s">
        <v>83</v>
      </c>
      <c r="E45" s="157"/>
      <c r="F45" s="92"/>
      <c r="G45" s="92"/>
      <c r="H45" s="92"/>
      <c r="I45" s="92"/>
      <c r="J45" s="92"/>
      <c r="K45" s="92"/>
      <c r="L45" s="208" t="str">
        <f t="shared" si="6"/>
        <v>Meziplodiny na zelené hnojení – následuje jarní plodina</v>
      </c>
      <c r="M45" s="16">
        <v>0.35</v>
      </c>
      <c r="N45" s="17"/>
      <c r="O45" s="36"/>
      <c r="P45" s="36"/>
      <c r="Q45" s="171">
        <f t="shared" si="4"/>
        <v>0</v>
      </c>
      <c r="R45" s="71" t="str">
        <f t="shared" si="5"/>
        <v/>
      </c>
      <c r="S45" s="206"/>
      <c r="T45" s="41"/>
      <c r="U45" s="41"/>
      <c r="V45" s="182"/>
      <c r="W45" s="182"/>
    </row>
    <row r="46" spans="1:31" ht="12.95" customHeight="1" x14ac:dyDescent="0.25">
      <c r="A46" s="12"/>
      <c r="B46" s="21" t="s">
        <v>20</v>
      </c>
      <c r="C46" s="80"/>
      <c r="D46" s="98" t="s">
        <v>17</v>
      </c>
      <c r="E46" s="157"/>
      <c r="F46" s="92"/>
      <c r="G46" s="92"/>
      <c r="H46" s="92"/>
      <c r="I46" s="92"/>
      <c r="J46" s="92"/>
      <c r="K46" s="92"/>
      <c r="L46" s="208" t="str">
        <f t="shared" si="6"/>
        <v>Meziplodiny – současně s hlavní plodinou</v>
      </c>
      <c r="M46" s="16">
        <v>0.2</v>
      </c>
      <c r="N46" s="17"/>
      <c r="O46" s="36"/>
      <c r="P46" s="36"/>
      <c r="Q46" s="171">
        <f t="shared" si="4"/>
        <v>0</v>
      </c>
      <c r="R46" s="71" t="str">
        <f t="shared" si="5"/>
        <v/>
      </c>
      <c r="S46" s="206"/>
      <c r="T46" s="41"/>
      <c r="U46" s="41"/>
      <c r="V46" s="182"/>
      <c r="W46" s="182"/>
    </row>
    <row r="47" spans="1:31" ht="12.95" customHeight="1" x14ac:dyDescent="0.25">
      <c r="A47" s="12"/>
      <c r="B47" s="21" t="s">
        <v>114</v>
      </c>
      <c r="C47" s="80"/>
      <c r="D47" s="98" t="s">
        <v>115</v>
      </c>
      <c r="E47" s="157"/>
      <c r="F47" s="92"/>
      <c r="G47" s="92"/>
      <c r="H47" s="92"/>
      <c r="I47" s="92"/>
      <c r="J47" s="92"/>
      <c r="K47" s="92"/>
      <c r="L47" s="208" t="str">
        <f>B47</f>
        <v>Meziplodiny – odvoz zelené hmoty</v>
      </c>
      <c r="M47" s="16">
        <v>0.1</v>
      </c>
      <c r="N47" s="17"/>
      <c r="O47" s="36"/>
      <c r="P47" s="36"/>
      <c r="Q47" s="171">
        <f t="shared" si="4"/>
        <v>0</v>
      </c>
      <c r="R47" s="71" t="str">
        <f>IF(C$8=0,"",((30*0.165)*Q47)/C$8)</f>
        <v/>
      </c>
      <c r="S47" s="206"/>
      <c r="T47" s="41"/>
      <c r="U47" s="41"/>
      <c r="V47" s="182"/>
      <c r="W47" s="182"/>
    </row>
    <row r="48" spans="1:31" ht="12.95" customHeight="1" x14ac:dyDescent="0.25">
      <c r="A48" s="12"/>
      <c r="B48" s="21" t="s">
        <v>174</v>
      </c>
      <c r="C48" s="80"/>
      <c r="D48" s="98" t="s">
        <v>176</v>
      </c>
      <c r="E48" s="157"/>
      <c r="F48" s="92"/>
      <c r="G48" s="92"/>
      <c r="H48" s="92"/>
      <c r="I48" s="92"/>
      <c r="J48" s="92"/>
      <c r="K48" s="92"/>
      <c r="L48" s="208" t="str">
        <f t="shared" si="6"/>
        <v>Úhor a ochr.pásy (JŽ, květen 2022) – bez odvozu zelené hmoty</v>
      </c>
      <c r="M48" s="16">
        <v>0.45</v>
      </c>
      <c r="N48" s="17"/>
      <c r="O48" s="36"/>
      <c r="P48" s="36"/>
      <c r="Q48" s="171">
        <f t="shared" si="4"/>
        <v>0</v>
      </c>
      <c r="R48" s="71" t="str">
        <f t="shared" si="5"/>
        <v/>
      </c>
      <c r="S48" s="206"/>
      <c r="T48" s="41"/>
      <c r="U48" s="41"/>
      <c r="V48" s="182"/>
      <c r="W48" s="182"/>
    </row>
    <row r="49" spans="1:23" ht="12.95" customHeight="1" x14ac:dyDescent="0.25">
      <c r="A49" s="12"/>
      <c r="B49" s="21" t="s">
        <v>175</v>
      </c>
      <c r="C49" s="80"/>
      <c r="D49" s="98" t="s">
        <v>177</v>
      </c>
      <c r="E49" s="157"/>
      <c r="F49" s="92"/>
      <c r="G49" s="92"/>
      <c r="H49" s="92"/>
      <c r="I49" s="92"/>
      <c r="J49" s="92"/>
      <c r="K49" s="92"/>
      <c r="L49" s="208" t="str">
        <f t="shared" si="6"/>
        <v>Úhor a ochr.pásy (JŽ, květen 2022) – odvoz zelené hmoty</v>
      </c>
      <c r="M49" s="16">
        <v>0.1</v>
      </c>
      <c r="N49" s="17"/>
      <c r="O49" s="36"/>
      <c r="P49" s="36"/>
      <c r="Q49" s="171">
        <f t="shared" si="4"/>
        <v>0</v>
      </c>
      <c r="R49" s="71" t="str">
        <f t="shared" si="5"/>
        <v/>
      </c>
      <c r="S49" s="206"/>
      <c r="T49" s="41"/>
      <c r="U49" s="41"/>
      <c r="V49" s="182"/>
      <c r="W49" s="182"/>
    </row>
    <row r="50" spans="1:23" ht="12.95" customHeight="1" x14ac:dyDescent="0.25">
      <c r="A50" s="12"/>
      <c r="B50" s="21" t="s">
        <v>26</v>
      </c>
      <c r="C50" s="80"/>
      <c r="D50" s="98" t="s">
        <v>26</v>
      </c>
      <c r="E50" s="157"/>
      <c r="F50" s="92"/>
      <c r="G50" s="92"/>
      <c r="H50" s="92"/>
      <c r="I50" s="92"/>
      <c r="J50" s="92"/>
      <c r="K50" s="92"/>
      <c r="L50" s="208" t="str">
        <f t="shared" si="6"/>
        <v xml:space="preserve">Strip-till </v>
      </c>
      <c r="M50" s="16">
        <v>0.2</v>
      </c>
      <c r="N50" s="17"/>
      <c r="O50" s="35"/>
      <c r="P50" s="35"/>
      <c r="Q50" s="171">
        <f t="shared" si="4"/>
        <v>0</v>
      </c>
      <c r="R50" s="71" t="str">
        <f t="shared" si="5"/>
        <v/>
      </c>
      <c r="S50" s="206"/>
      <c r="T50" s="41"/>
      <c r="U50" s="41"/>
      <c r="V50" s="182"/>
      <c r="W50" s="182"/>
    </row>
    <row r="51" spans="1:23" ht="12.95" customHeight="1" x14ac:dyDescent="0.25">
      <c r="A51" s="12"/>
      <c r="B51" s="21" t="s">
        <v>21</v>
      </c>
      <c r="C51" s="78"/>
      <c r="D51" s="98" t="s">
        <v>18</v>
      </c>
      <c r="E51" s="157"/>
      <c r="F51" s="92"/>
      <c r="G51" s="92"/>
      <c r="H51" s="92"/>
      <c r="I51" s="92"/>
      <c r="J51" s="92"/>
      <c r="K51" s="92"/>
      <c r="L51" s="208" t="str">
        <f t="shared" si="6"/>
        <v xml:space="preserve">Přímé setí </v>
      </c>
      <c r="M51" s="16">
        <v>0.2</v>
      </c>
      <c r="N51" s="17"/>
      <c r="O51" s="35"/>
      <c r="P51" s="35"/>
      <c r="Q51" s="171">
        <f t="shared" si="4"/>
        <v>0</v>
      </c>
      <c r="R51" s="71" t="str">
        <f t="shared" si="5"/>
        <v/>
      </c>
      <c r="S51" s="206"/>
      <c r="T51" s="41"/>
      <c r="U51" s="41"/>
      <c r="V51" s="182"/>
      <c r="W51" s="182"/>
    </row>
    <row r="52" spans="1:23" ht="56.45" customHeight="1" x14ac:dyDescent="0.25">
      <c r="A52" s="12"/>
      <c r="B52" s="221"/>
      <c r="C52" s="221"/>
      <c r="D52" s="221"/>
      <c r="E52" s="61"/>
      <c r="F52" s="55"/>
      <c r="G52" s="55"/>
      <c r="H52" s="55"/>
      <c r="I52" s="55"/>
      <c r="J52" s="55"/>
      <c r="K52" s="55"/>
      <c r="L52" s="24" t="s">
        <v>24</v>
      </c>
      <c r="M52" s="37"/>
      <c r="N52" s="21"/>
      <c r="O52" s="21"/>
      <c r="P52" s="194"/>
      <c r="Q52" s="173">
        <f>SUM(Q40:Q51)</f>
        <v>0</v>
      </c>
      <c r="R52" s="74">
        <f>SUM(R40:R51)</f>
        <v>0</v>
      </c>
      <c r="S52" s="206"/>
      <c r="T52" s="41"/>
      <c r="U52" s="41"/>
      <c r="V52" s="182"/>
      <c r="W52" s="182"/>
    </row>
    <row r="53" spans="1:23" ht="4.3499999999999996" customHeight="1" x14ac:dyDescent="0.25">
      <c r="A53" s="12"/>
      <c r="B53" s="192"/>
      <c r="C53" s="38"/>
      <c r="D53" s="38"/>
      <c r="E53" s="38"/>
      <c r="F53" s="57"/>
      <c r="G53" s="57"/>
      <c r="H53" s="57"/>
      <c r="I53" s="57"/>
      <c r="J53" s="57"/>
      <c r="K53" s="57"/>
      <c r="L53" s="62"/>
      <c r="M53" s="39"/>
      <c r="N53" s="28"/>
      <c r="O53" s="28"/>
      <c r="P53" s="39"/>
      <c r="Q53" s="174"/>
      <c r="R53" s="76"/>
      <c r="S53" s="100"/>
      <c r="T53" s="41"/>
      <c r="U53" s="41"/>
      <c r="V53" s="182"/>
      <c r="W53" s="182"/>
    </row>
    <row r="54" spans="1:23" ht="12" customHeight="1" x14ac:dyDescent="0.25">
      <c r="A54" s="12"/>
      <c r="B54" s="295" t="s">
        <v>161</v>
      </c>
      <c r="C54" s="295"/>
      <c r="D54" s="295"/>
      <c r="E54" s="50"/>
      <c r="F54" s="57"/>
      <c r="G54" s="57"/>
      <c r="H54" s="57"/>
      <c r="I54" s="57"/>
      <c r="J54" s="57"/>
      <c r="K54" s="57"/>
      <c r="L54" s="105" t="s">
        <v>22</v>
      </c>
      <c r="M54" s="106"/>
      <c r="N54" s="107"/>
      <c r="O54" s="108"/>
      <c r="P54" s="109">
        <f>IF(C$8=0,0,Q54/C$8)</f>
        <v>0</v>
      </c>
      <c r="Q54" s="175">
        <f>Q37+Q52</f>
        <v>0</v>
      </c>
      <c r="R54" s="110">
        <f>R37+R52</f>
        <v>0</v>
      </c>
      <c r="S54" s="209" t="s">
        <v>126</v>
      </c>
      <c r="T54" s="41"/>
      <c r="U54" s="41"/>
      <c r="V54" s="182"/>
      <c r="W54" s="182"/>
    </row>
    <row r="55" spans="1:23" ht="18.95" customHeight="1" x14ac:dyDescent="0.25">
      <c r="A55" s="12"/>
      <c r="B55" s="210" t="s">
        <v>159</v>
      </c>
      <c r="C55" s="210"/>
      <c r="D55" s="210"/>
      <c r="E55" s="50"/>
      <c r="F55" s="48"/>
      <c r="G55" s="48"/>
      <c r="H55" s="48"/>
      <c r="I55" s="48"/>
      <c r="J55" s="48"/>
      <c r="K55" s="48"/>
      <c r="L55" s="112" t="s">
        <v>89</v>
      </c>
      <c r="M55" s="113"/>
      <c r="N55" s="113"/>
      <c r="O55" s="115"/>
      <c r="P55" s="143">
        <f>IF(C$8=0,0,Q55/C$8)</f>
        <v>0</v>
      </c>
      <c r="Q55" s="176">
        <f>IF(C8=0,0,Q54-Q9)</f>
        <v>0</v>
      </c>
      <c r="R55" s="114">
        <f>IF(C8=0,0,R54-R18)</f>
        <v>0</v>
      </c>
      <c r="S55" s="209" t="s">
        <v>127</v>
      </c>
      <c r="T55" s="41"/>
      <c r="U55" s="41"/>
      <c r="V55" s="182"/>
      <c r="W55" s="182"/>
    </row>
    <row r="56" spans="1:23" ht="12" customHeight="1" x14ac:dyDescent="0.25">
      <c r="A56" s="12"/>
      <c r="B56" s="41"/>
      <c r="C56" s="20"/>
      <c r="D56" s="50"/>
      <c r="E56" s="50"/>
      <c r="F56" s="48"/>
      <c r="G56" s="48"/>
      <c r="H56" s="48"/>
      <c r="I56" s="48"/>
      <c r="J56" s="48"/>
      <c r="K56" s="48"/>
      <c r="L56" s="48"/>
      <c r="M56" s="51"/>
      <c r="N56" s="51"/>
      <c r="O56" s="51"/>
      <c r="P56" s="51"/>
      <c r="Q56" s="40"/>
      <c r="R56" s="40"/>
      <c r="S56" s="41"/>
      <c r="T56" s="41"/>
      <c r="U56" s="41"/>
      <c r="V56" s="182"/>
      <c r="W56" s="182"/>
    </row>
    <row r="57" spans="1:23" ht="12.95" customHeight="1" x14ac:dyDescent="0.25">
      <c r="A57" s="12"/>
      <c r="B57" s="41"/>
      <c r="C57" s="19"/>
      <c r="D57" s="50"/>
      <c r="E57" s="50"/>
      <c r="F57" s="48"/>
      <c r="G57" s="48"/>
      <c r="H57" s="48"/>
      <c r="I57" s="48"/>
      <c r="J57" s="48"/>
      <c r="K57" s="48"/>
      <c r="L57" s="48"/>
      <c r="M57" s="19"/>
      <c r="N57" s="19"/>
      <c r="O57" s="19"/>
      <c r="P57" s="19"/>
      <c r="Q57" s="41"/>
      <c r="R57" s="41"/>
      <c r="S57" s="41"/>
      <c r="T57" s="41"/>
      <c r="U57" s="41"/>
      <c r="V57" s="182"/>
      <c r="W57" s="182"/>
    </row>
    <row r="58" spans="1:23" ht="11.25" customHeight="1" x14ac:dyDescent="0.25">
      <c r="A58" s="12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50"/>
      <c r="T58" s="41"/>
      <c r="U58" s="41"/>
      <c r="V58" s="182"/>
      <c r="W58" s="182"/>
    </row>
    <row r="59" spans="1:23" x14ac:dyDescent="0.25">
      <c r="A59" s="12"/>
      <c r="B59" s="41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41"/>
      <c r="N59" s="41"/>
      <c r="O59" s="41"/>
      <c r="P59" s="41"/>
      <c r="Q59" s="41"/>
      <c r="R59" s="41"/>
      <c r="S59" s="41"/>
      <c r="T59" s="41"/>
      <c r="U59" s="41"/>
      <c r="V59" s="182"/>
      <c r="W59" s="182"/>
    </row>
    <row r="60" spans="1:23" x14ac:dyDescent="0.25">
      <c r="A60" s="12"/>
      <c r="B60" s="41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41"/>
      <c r="N60" s="41"/>
      <c r="O60" s="41"/>
      <c r="P60" s="41"/>
      <c r="Q60" s="41"/>
      <c r="R60" s="41"/>
      <c r="S60" s="41"/>
      <c r="T60" s="41"/>
      <c r="U60" s="41"/>
      <c r="V60" s="182"/>
      <c r="W60" s="182"/>
    </row>
    <row r="61" spans="1:23" x14ac:dyDescent="0.25">
      <c r="A61" s="12"/>
      <c r="B61" s="41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41"/>
      <c r="N61" s="41"/>
      <c r="O61" s="41"/>
      <c r="P61" s="41"/>
      <c r="Q61" s="41"/>
      <c r="R61" s="41"/>
      <c r="S61" s="41"/>
      <c r="T61" s="41"/>
      <c r="U61" s="41"/>
      <c r="V61" s="182"/>
      <c r="W61" s="182"/>
    </row>
    <row r="62" spans="1:23" x14ac:dyDescent="0.25">
      <c r="B62" s="182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</row>
    <row r="63" spans="1:23" x14ac:dyDescent="0.25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</row>
  </sheetData>
  <sheetProtection password="DEBF" sheet="1" formatCells="0" formatColumns="0" formatRows="0" selectLockedCells="1"/>
  <mergeCells count="23">
    <mergeCell ref="F18:G18"/>
    <mergeCell ref="N1:O1"/>
    <mergeCell ref="N2:O2"/>
    <mergeCell ref="N4:O4"/>
    <mergeCell ref="B1:D1"/>
    <mergeCell ref="C2:D2"/>
    <mergeCell ref="F1:G2"/>
    <mergeCell ref="B54:D54"/>
    <mergeCell ref="B55:D55"/>
    <mergeCell ref="R4:R7"/>
    <mergeCell ref="M8:O8"/>
    <mergeCell ref="P7:Q7"/>
    <mergeCell ref="P13:Q13"/>
    <mergeCell ref="M9:O9"/>
    <mergeCell ref="O13:O17"/>
    <mergeCell ref="B52:D52"/>
    <mergeCell ref="D21:D36"/>
    <mergeCell ref="D9:D11"/>
    <mergeCell ref="H13:J17"/>
    <mergeCell ref="I18:J19"/>
    <mergeCell ref="F20:G20"/>
    <mergeCell ref="F21:G21"/>
    <mergeCell ref="F10:G12"/>
  </mergeCells>
  <conditionalFormatting sqref="C4 C6:F6 H5:L6 I4:K4 I1">
    <cfRule type="containsText" dxfId="33" priority="57" operator="containsText" text="Nesplňuje">
      <formula>NOT(ISERROR(SEARCH("Nesplňuje",C1)))</formula>
    </cfRule>
    <cfRule type="containsText" dxfId="32" priority="58" operator="containsText" text="Splňuje">
      <formula>NOT(ISERROR(SEARCH("Splňuje",C1)))</formula>
    </cfRule>
    <cfRule type="containsText" dxfId="31" priority="59" operator="containsText" text="Nesplňuje">
      <formula>NOT(ISERROR(SEARCH("Nesplňuje",C1)))</formula>
    </cfRule>
  </conditionalFormatting>
  <conditionalFormatting sqref="T6 C5">
    <cfRule type="containsText" dxfId="30" priority="51" operator="containsText" text="Zlepšující">
      <formula>NOT(ISERROR(SEARCH("Zlepšující",C5)))</formula>
    </cfRule>
    <cfRule type="containsText" dxfId="29" priority="52" operator="containsText" text="Zlepšující">
      <formula>NOT(ISERROR(SEARCH("Zlepšující",C5)))</formula>
    </cfRule>
    <cfRule type="containsText" dxfId="28" priority="53" operator="containsText" text="Vyrovnaná">
      <formula>NOT(ISERROR(SEARCH("Vyrovnaná",C5)))</formula>
    </cfRule>
    <cfRule type="containsText" dxfId="27" priority="54" operator="containsText" text="Zlepšující">
      <formula>NOT(ISERROR(SEARCH("Zlepšující",C5)))</formula>
    </cfRule>
    <cfRule type="containsText" dxfId="26" priority="55" operator="containsText" text="Záporná">
      <formula>NOT(ISERROR(SEARCH("Záporná",C5)))</formula>
    </cfRule>
    <cfRule type="containsText" dxfId="25" priority="56" operator="containsText" text="Vyrovnaná">
      <formula>NOT(ISERROR(SEARCH("Vyrovnaná",C5)))</formula>
    </cfRule>
  </conditionalFormatting>
  <conditionalFormatting sqref="C4">
    <cfRule type="cellIs" dxfId="24" priority="1" operator="equal">
      <formula>"splněna"</formula>
    </cfRule>
    <cfRule type="cellIs" dxfId="23" priority="2" operator="equal">
      <formula>"nesplněna"</formula>
    </cfRule>
    <cfRule type="containsText" dxfId="22" priority="47" operator="containsText" text="nesplněny">
      <formula>NOT(ISERROR(SEARCH("nesplněny",C4)))</formula>
    </cfRule>
    <cfRule type="containsText" dxfId="21" priority="48" operator="containsText" text="splněny">
      <formula>NOT(ISERROR(SEARCH("splněny",C4)))</formula>
    </cfRule>
  </conditionalFormatting>
  <conditionalFormatting sqref="P4">
    <cfRule type="cellIs" dxfId="20" priority="45" operator="lessThan">
      <formula>0</formula>
    </cfRule>
  </conditionalFormatting>
  <conditionalFormatting sqref="F4:F5">
    <cfRule type="containsText" dxfId="19" priority="42" operator="containsText" text="Nesplňuje">
      <formula>NOT(ISERROR(SEARCH("Nesplňuje",F4)))</formula>
    </cfRule>
    <cfRule type="containsText" dxfId="18" priority="43" operator="containsText" text="Splňuje">
      <formula>NOT(ISERROR(SEARCH("Splňuje",F4)))</formula>
    </cfRule>
    <cfRule type="containsText" dxfId="17" priority="44" operator="containsText" text="Nesplňuje">
      <formula>NOT(ISERROR(SEARCH("Nesplňuje",F4)))</formula>
    </cfRule>
  </conditionalFormatting>
  <conditionalFormatting sqref="P55">
    <cfRule type="cellIs" dxfId="16" priority="37" operator="lessThan">
      <formula>0</formula>
    </cfRule>
  </conditionalFormatting>
  <conditionalFormatting sqref="G6">
    <cfRule type="containsText" dxfId="15" priority="24" operator="containsText" text="Nesplňuje">
      <formula>NOT(ISERROR(SEARCH("Nesplňuje",G6)))</formula>
    </cfRule>
    <cfRule type="containsText" dxfId="14" priority="25" operator="containsText" text="Splňuje">
      <formula>NOT(ISERROR(SEARCH("Splňuje",G6)))</formula>
    </cfRule>
    <cfRule type="containsText" dxfId="13" priority="26" operator="containsText" text="Nesplňuje">
      <formula>NOT(ISERROR(SEARCH("Nesplňuje",G6)))</formula>
    </cfRule>
  </conditionalFormatting>
  <conditionalFormatting sqref="G7:G8">
    <cfRule type="cellIs" dxfId="12" priority="23" operator="lessThan">
      <formula>0</formula>
    </cfRule>
  </conditionalFormatting>
  <conditionalFormatting sqref="F8">
    <cfRule type="containsText" dxfId="11" priority="12" operator="containsText" text="Nesplňuje">
      <formula>NOT(ISERROR(SEARCH("Nesplňuje",F8)))</formula>
    </cfRule>
    <cfRule type="containsText" dxfId="10" priority="13" operator="containsText" text="Splňuje">
      <formula>NOT(ISERROR(SEARCH("Splňuje",F8)))</formula>
    </cfRule>
    <cfRule type="containsText" dxfId="9" priority="14" operator="containsText" text="Nesplňuje">
      <formula>NOT(ISERROR(SEARCH("Nesplňuje",F8)))</formula>
    </cfRule>
  </conditionalFormatting>
  <conditionalFormatting sqref="F7">
    <cfRule type="containsText" dxfId="8" priority="8" operator="containsText" text="Nesplňuje">
      <formula>NOT(ISERROR(SEARCH("Nesplňuje",F7)))</formula>
    </cfRule>
    <cfRule type="containsText" dxfId="7" priority="9" operator="containsText" text="Splňuje">
      <formula>NOT(ISERROR(SEARCH("Splňuje",F7)))</formula>
    </cfRule>
    <cfRule type="containsText" dxfId="6" priority="10" operator="containsText" text="Nesplňuje">
      <formula>NOT(ISERROR(SEARCH("Nesplňuje",F7)))</formula>
    </cfRule>
  </conditionalFormatting>
  <conditionalFormatting sqref="G9">
    <cfRule type="containsText" dxfId="5" priority="3" operator="containsText" text="podmínka splněna">
      <formula>NOT(ISERROR(SEARCH("podmínka splněna",G9)))</formula>
    </cfRule>
    <cfRule type="containsText" dxfId="4" priority="7" operator="containsText" text="sankc">
      <formula>NOT(ISERROR(SEARCH("sankc",G9)))</formula>
    </cfRule>
  </conditionalFormatting>
  <conditionalFormatting sqref="C10">
    <cfRule type="cellIs" dxfId="3" priority="6" operator="lessThan">
      <formula>0</formula>
    </cfRule>
  </conditionalFormatting>
  <conditionalFormatting sqref="C41">
    <cfRule type="cellIs" dxfId="2" priority="4" operator="greaterThan">
      <formula>$C$40</formula>
    </cfRule>
    <cfRule type="cellIs" dxfId="1" priority="5" operator="greaterThan">
      <formula>"c40"</formula>
    </cfRule>
  </conditionalFormatting>
  <pageMargins left="0.31496062992125984" right="0.31496062992125984" top="0.59055118110236227" bottom="0.59055118110236227" header="0.31496062992125984" footer="0.31496062992125984"/>
  <pageSetup paperSize="9" scale="64" fitToWidth="0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9"/>
  <sheetViews>
    <sheetView showGridLines="0" zoomScale="110" zoomScaleNormal="110" zoomScaleSheetLayoutView="110" workbookViewId="0">
      <selection activeCell="B18" sqref="B18:C18"/>
    </sheetView>
  </sheetViews>
  <sheetFormatPr defaultRowHeight="15" x14ac:dyDescent="0.25"/>
  <cols>
    <col min="1" max="1" width="1.5703125" customWidth="1"/>
    <col min="2" max="2" width="24.42578125" customWidth="1"/>
    <col min="3" max="3" width="45.42578125" customWidth="1"/>
    <col min="4" max="4" width="17.140625" customWidth="1"/>
    <col min="5" max="5" width="19.140625" customWidth="1"/>
    <col min="6" max="6" width="12.42578125" customWidth="1"/>
    <col min="7" max="7" width="14.42578125" customWidth="1"/>
    <col min="9" max="9" width="11.85546875" customWidth="1"/>
    <col min="10" max="12" width="17" customWidth="1"/>
  </cols>
  <sheetData>
    <row r="1" spans="2:7" ht="17.25" customHeight="1" x14ac:dyDescent="0.25">
      <c r="B1" s="241" t="s">
        <v>136</v>
      </c>
      <c r="C1" s="241"/>
      <c r="D1" s="241"/>
      <c r="E1" s="241"/>
      <c r="F1" s="241"/>
      <c r="G1" s="241"/>
    </row>
    <row r="2" spans="2:7" ht="13.7" customHeight="1" x14ac:dyDescent="0.25">
      <c r="B2" s="189" t="s">
        <v>145</v>
      </c>
      <c r="C2" s="190"/>
      <c r="D2" s="191"/>
      <c r="E2" s="191"/>
      <c r="F2" s="191"/>
      <c r="G2" s="191"/>
    </row>
    <row r="3" spans="2:7" ht="21.6" customHeight="1" x14ac:dyDescent="0.25">
      <c r="B3" s="235" t="s">
        <v>44</v>
      </c>
      <c r="C3" s="235"/>
      <c r="D3" s="235"/>
      <c r="E3" s="235"/>
      <c r="F3" s="235"/>
      <c r="G3" s="235"/>
    </row>
    <row r="4" spans="2:7" ht="15.95" customHeight="1" x14ac:dyDescent="0.25">
      <c r="B4" s="186" t="s">
        <v>42</v>
      </c>
      <c r="C4" s="236" t="str">
        <f>IF(výpočet!C2=0,"",výpočet!C2)</f>
        <v/>
      </c>
      <c r="D4" s="240"/>
      <c r="E4" s="240"/>
      <c r="F4" s="240"/>
      <c r="G4" s="237"/>
    </row>
    <row r="5" spans="2:7" ht="15.95" customHeight="1" x14ac:dyDescent="0.25">
      <c r="B5" s="186" t="s">
        <v>43</v>
      </c>
      <c r="C5" s="281" t="s">
        <v>178</v>
      </c>
      <c r="D5" s="282"/>
      <c r="E5" s="282"/>
      <c r="F5" s="282"/>
      <c r="G5" s="283"/>
    </row>
    <row r="6" spans="2:7" ht="8.1" customHeight="1" x14ac:dyDescent="0.25">
      <c r="B6" s="120"/>
      <c r="C6" s="120"/>
      <c r="D6" s="120"/>
      <c r="E6" s="120"/>
      <c r="F6" s="120"/>
      <c r="G6" s="120"/>
    </row>
    <row r="7" spans="2:7" ht="15.95" customHeight="1" x14ac:dyDescent="0.25">
      <c r="B7" s="235" t="s">
        <v>93</v>
      </c>
      <c r="C7" s="235"/>
      <c r="D7" s="235"/>
      <c r="E7" s="235"/>
      <c r="F7" s="235"/>
      <c r="G7" s="235"/>
    </row>
    <row r="8" spans="2:7" ht="15.95" customHeight="1" x14ac:dyDescent="0.25">
      <c r="B8" s="230" t="s">
        <v>45</v>
      </c>
      <c r="C8" s="231"/>
      <c r="D8" s="232"/>
      <c r="E8" s="167" t="s">
        <v>15</v>
      </c>
      <c r="F8" s="242" t="s">
        <v>146</v>
      </c>
      <c r="G8" s="242"/>
    </row>
    <row r="9" spans="2:7" ht="15.95" customHeight="1" x14ac:dyDescent="0.25">
      <c r="B9" s="236" t="s">
        <v>94</v>
      </c>
      <c r="C9" s="240"/>
      <c r="D9" s="237"/>
      <c r="E9" s="125" t="str">
        <f>IF(výpočet!C8=0,"",výpočet!C8)</f>
        <v/>
      </c>
      <c r="F9" s="242"/>
      <c r="G9" s="242"/>
    </row>
    <row r="10" spans="2:7" ht="15.95" customHeight="1" x14ac:dyDescent="0.25">
      <c r="B10" s="236" t="s">
        <v>46</v>
      </c>
      <c r="C10" s="240"/>
      <c r="D10" s="237"/>
      <c r="E10" s="123" t="str">
        <f>IF(výpočet!C9=0,"",výpočet!C9)</f>
        <v/>
      </c>
      <c r="F10" s="243">
        <v>0.3</v>
      </c>
      <c r="G10" s="244"/>
    </row>
    <row r="11" spans="2:7" ht="15.95" customHeight="1" x14ac:dyDescent="0.25">
      <c r="B11" s="236" t="s">
        <v>95</v>
      </c>
      <c r="C11" s="240"/>
      <c r="D11" s="237"/>
      <c r="E11" s="124" t="str">
        <f>IF((výpočet!C9+výpočet!C11=0),'výpočet - k tisku'!E9,výpočet!C8-výpočet!C9-výpočet!C11)</f>
        <v/>
      </c>
      <c r="F11" s="243">
        <v>0.35</v>
      </c>
      <c r="G11" s="244"/>
    </row>
    <row r="12" spans="2:7" ht="15.95" customHeight="1" x14ac:dyDescent="0.25">
      <c r="B12" s="236" t="s">
        <v>47</v>
      </c>
      <c r="C12" s="240"/>
      <c r="D12" s="237"/>
      <c r="E12" s="123" t="str">
        <f>IF(výpočet!C11=0,"",výpočet!C11)</f>
        <v/>
      </c>
      <c r="F12" s="243">
        <v>0.3</v>
      </c>
      <c r="G12" s="244"/>
    </row>
    <row r="13" spans="2:7" ht="15.95" customHeight="1" x14ac:dyDescent="0.25">
      <c r="B13" s="236" t="s">
        <v>48</v>
      </c>
      <c r="C13" s="240"/>
      <c r="D13" s="240"/>
      <c r="E13" s="237"/>
      <c r="F13" s="243" t="str">
        <f>výpočet!P8</f>
        <v/>
      </c>
      <c r="G13" s="244"/>
    </row>
    <row r="14" spans="2:7" ht="15.95" customHeight="1" x14ac:dyDescent="0.25">
      <c r="B14" s="230" t="s">
        <v>49</v>
      </c>
      <c r="C14" s="231"/>
      <c r="D14" s="231"/>
      <c r="E14" s="232"/>
      <c r="F14" s="245" t="str">
        <f>IF(E9="","",F13*E9)</f>
        <v/>
      </c>
      <c r="G14" s="246"/>
    </row>
    <row r="15" spans="2:7" ht="9" customHeight="1" x14ac:dyDescent="0.25">
      <c r="B15" s="120"/>
      <c r="C15" s="120"/>
      <c r="D15" s="120"/>
      <c r="E15" s="120"/>
      <c r="F15" s="120"/>
      <c r="G15" s="120"/>
    </row>
    <row r="16" spans="2:7" ht="15.95" customHeight="1" x14ac:dyDescent="0.25">
      <c r="B16" s="235" t="s">
        <v>112</v>
      </c>
      <c r="C16" s="235"/>
      <c r="D16" s="235"/>
      <c r="E16" s="235"/>
      <c r="F16" s="235"/>
      <c r="G16" s="235"/>
    </row>
    <row r="17" spans="2:7" ht="32.1" customHeight="1" x14ac:dyDescent="0.25">
      <c r="B17" s="230" t="s">
        <v>50</v>
      </c>
      <c r="C17" s="232"/>
      <c r="D17" s="167" t="s">
        <v>99</v>
      </c>
      <c r="E17" s="167" t="s">
        <v>121</v>
      </c>
      <c r="F17" s="242" t="s">
        <v>137</v>
      </c>
      <c r="G17" s="242"/>
    </row>
    <row r="18" spans="2:7" ht="32.1" customHeight="1" x14ac:dyDescent="0.25">
      <c r="B18" s="249" t="s">
        <v>117</v>
      </c>
      <c r="C18" s="250"/>
      <c r="D18" s="126">
        <f>výpočet!M14</f>
        <v>0.45</v>
      </c>
      <c r="E18" s="124" t="str">
        <f>IF(výpočet!C14=0,"",výpočet!C14)</f>
        <v/>
      </c>
      <c r="F18" s="239" t="str">
        <f>IF(E18="","",D18*E18)</f>
        <v/>
      </c>
      <c r="G18" s="239"/>
    </row>
    <row r="19" spans="2:7" ht="32.1" customHeight="1" x14ac:dyDescent="0.25">
      <c r="B19" s="236" t="s">
        <v>96</v>
      </c>
      <c r="C19" s="237"/>
      <c r="D19" s="126">
        <f>výpočet!M15</f>
        <v>0.25</v>
      </c>
      <c r="E19" s="124" t="str">
        <f>IF(výpočet!C15=0,"",výpočet!C15)</f>
        <v/>
      </c>
      <c r="F19" s="239" t="str">
        <f>IF(E19="","",D19*E19)</f>
        <v/>
      </c>
      <c r="G19" s="239"/>
    </row>
    <row r="20" spans="2:7" ht="32.1" customHeight="1" x14ac:dyDescent="0.25">
      <c r="B20" s="236" t="s">
        <v>52</v>
      </c>
      <c r="C20" s="237"/>
      <c r="D20" s="126">
        <f>výpočet!M16</f>
        <v>-0.9</v>
      </c>
      <c r="E20" s="124" t="str">
        <f>IF(výpočet!C16=0,"",výpočet!C16)</f>
        <v/>
      </c>
      <c r="F20" s="239" t="str">
        <f>IF(E20="","",D20*E20)</f>
        <v/>
      </c>
      <c r="G20" s="239"/>
    </row>
    <row r="21" spans="2:7" ht="32.1" customHeight="1" x14ac:dyDescent="0.25">
      <c r="B21" s="236" t="s">
        <v>97</v>
      </c>
      <c r="C21" s="237"/>
      <c r="D21" s="126">
        <f>výpočet!M17</f>
        <v>-0.7</v>
      </c>
      <c r="E21" s="124" t="str">
        <f>IF(výpočet!C17=0,"",výpočet!C17)</f>
        <v/>
      </c>
      <c r="F21" s="239" t="str">
        <f>IF(E21="","",D21*E21)</f>
        <v/>
      </c>
      <c r="G21" s="239"/>
    </row>
    <row r="22" spans="2:7" ht="15.95" customHeight="1" x14ac:dyDescent="0.25">
      <c r="B22" s="230" t="s">
        <v>53</v>
      </c>
      <c r="C22" s="231"/>
      <c r="D22" s="231"/>
      <c r="E22" s="232"/>
      <c r="F22" s="238" t="str">
        <f>IF(E9="","",SUM(F18:G21))</f>
        <v/>
      </c>
      <c r="G22" s="238"/>
    </row>
    <row r="23" spans="2:7" ht="15.95" customHeight="1" x14ac:dyDescent="0.25">
      <c r="B23" s="236" t="s">
        <v>54</v>
      </c>
      <c r="C23" s="240"/>
      <c r="D23" s="240"/>
      <c r="E23" s="237"/>
      <c r="F23" s="239" t="str">
        <f>F14</f>
        <v/>
      </c>
      <c r="G23" s="239"/>
    </row>
    <row r="24" spans="2:7" ht="15.95" customHeight="1" x14ac:dyDescent="0.25">
      <c r="B24" s="230" t="s">
        <v>55</v>
      </c>
      <c r="C24" s="231"/>
      <c r="D24" s="231"/>
      <c r="E24" s="232"/>
      <c r="F24" s="238" t="str">
        <f>IF(E9="","",F22+F23)</f>
        <v/>
      </c>
      <c r="G24" s="238"/>
    </row>
    <row r="25" spans="2:7" ht="6" customHeight="1" x14ac:dyDescent="0.25">
      <c r="B25" s="120"/>
      <c r="C25" s="120"/>
      <c r="D25" s="120"/>
      <c r="E25" s="120"/>
      <c r="F25" s="120"/>
      <c r="G25" s="120"/>
    </row>
    <row r="26" spans="2:7" ht="15.95" customHeight="1" x14ac:dyDescent="0.25">
      <c r="B26" s="235" t="s">
        <v>56</v>
      </c>
      <c r="C26" s="235"/>
      <c r="D26" s="235"/>
      <c r="E26" s="235"/>
      <c r="F26" s="235"/>
      <c r="G26" s="235"/>
    </row>
    <row r="27" spans="2:7" ht="32.1" customHeight="1" x14ac:dyDescent="0.25">
      <c r="B27" s="230" t="s">
        <v>57</v>
      </c>
      <c r="C27" s="232"/>
      <c r="D27" s="167" t="s">
        <v>60</v>
      </c>
      <c r="E27" s="167" t="s">
        <v>99</v>
      </c>
      <c r="F27" s="167" t="s">
        <v>58</v>
      </c>
      <c r="G27" s="167" t="s">
        <v>140</v>
      </c>
    </row>
    <row r="28" spans="2:7" ht="15.95" customHeight="1" x14ac:dyDescent="0.25">
      <c r="B28" s="236" t="s">
        <v>13</v>
      </c>
      <c r="C28" s="237"/>
      <c r="D28" s="127">
        <f>výpočet!N21</f>
        <v>30</v>
      </c>
      <c r="E28" s="123">
        <f>výpočet!M21</f>
        <v>1</v>
      </c>
      <c r="F28" s="122" t="str">
        <f>IF(výpočet!C21=0,"",výpočet!C21)</f>
        <v/>
      </c>
      <c r="G28" s="161" t="str">
        <f>IF(F28="","",F28/D28*E28)</f>
        <v/>
      </c>
    </row>
    <row r="29" spans="2:7" ht="15.95" customHeight="1" x14ac:dyDescent="0.25">
      <c r="B29" s="236" t="s">
        <v>12</v>
      </c>
      <c r="C29" s="237"/>
      <c r="D29" s="127">
        <f>výpočet!N22</f>
        <v>25</v>
      </c>
      <c r="E29" s="123">
        <f>výpočet!M22</f>
        <v>0.75</v>
      </c>
      <c r="F29" s="122" t="str">
        <f>IF(výpočet!C22=0,"",výpočet!C22)</f>
        <v/>
      </c>
      <c r="G29" s="161" t="str">
        <f t="shared" ref="G29:G43" si="0">IF(F29="","",F29/D29*E29)</f>
        <v/>
      </c>
    </row>
    <row r="30" spans="2:7" ht="15.95" customHeight="1" x14ac:dyDescent="0.25">
      <c r="B30" s="236" t="s">
        <v>19</v>
      </c>
      <c r="C30" s="237"/>
      <c r="D30" s="127">
        <f>výpočet!N23</f>
        <v>15</v>
      </c>
      <c r="E30" s="123">
        <f>výpočet!M23</f>
        <v>1</v>
      </c>
      <c r="F30" s="122" t="str">
        <f>IF(výpočet!C23=0,"",výpočet!C23)</f>
        <v/>
      </c>
      <c r="G30" s="161" t="str">
        <f t="shared" si="0"/>
        <v/>
      </c>
    </row>
    <row r="31" spans="2:7" ht="15.95" customHeight="1" x14ac:dyDescent="0.25">
      <c r="B31" s="236" t="s">
        <v>138</v>
      </c>
      <c r="C31" s="237"/>
      <c r="D31" s="127">
        <f>výpočet!N24</f>
        <v>15</v>
      </c>
      <c r="E31" s="123">
        <f>výpočet!M24</f>
        <v>0.65</v>
      </c>
      <c r="F31" s="122" t="str">
        <f>IF(výpočet!C24=0,"",výpočet!C24)</f>
        <v/>
      </c>
      <c r="G31" s="161" t="str">
        <f t="shared" si="0"/>
        <v/>
      </c>
    </row>
    <row r="32" spans="2:7" ht="15.95" customHeight="1" x14ac:dyDescent="0.25">
      <c r="B32" s="236" t="s">
        <v>61</v>
      </c>
      <c r="C32" s="237"/>
      <c r="D32" s="127">
        <f>výpočet!N25</f>
        <v>5</v>
      </c>
      <c r="E32" s="123">
        <f>výpočet!M25</f>
        <v>0.4</v>
      </c>
      <c r="F32" s="122" t="str">
        <f>IF(výpočet!C25=0,"",výpočet!C25)</f>
        <v/>
      </c>
      <c r="G32" s="161" t="str">
        <f t="shared" si="0"/>
        <v/>
      </c>
    </row>
    <row r="33" spans="2:7" ht="15.95" customHeight="1" x14ac:dyDescent="0.25">
      <c r="B33" s="236" t="s">
        <v>3</v>
      </c>
      <c r="C33" s="237"/>
      <c r="D33" s="127">
        <f>výpočet!N26</f>
        <v>20</v>
      </c>
      <c r="E33" s="123">
        <f>výpočet!M26</f>
        <v>0.18</v>
      </c>
      <c r="F33" s="122" t="str">
        <f>IF(výpočet!C26=0,"",výpočet!C26)</f>
        <v/>
      </c>
      <c r="G33" s="161" t="str">
        <f t="shared" si="0"/>
        <v/>
      </c>
    </row>
    <row r="34" spans="2:7" ht="15.95" customHeight="1" x14ac:dyDescent="0.25">
      <c r="B34" s="236" t="s">
        <v>4</v>
      </c>
      <c r="C34" s="237"/>
      <c r="D34" s="127">
        <f>výpočet!N27</f>
        <v>20</v>
      </c>
      <c r="E34" s="123">
        <f>výpočet!M27</f>
        <v>0.15</v>
      </c>
      <c r="F34" s="122" t="str">
        <f>IF(výpočet!C27=0,"",výpočet!C27)</f>
        <v/>
      </c>
      <c r="G34" s="161" t="str">
        <f t="shared" si="0"/>
        <v/>
      </c>
    </row>
    <row r="35" spans="2:7" ht="15.95" customHeight="1" x14ac:dyDescent="0.25">
      <c r="B35" s="236" t="s">
        <v>5</v>
      </c>
      <c r="C35" s="237"/>
      <c r="D35" s="127">
        <f>výpočet!N28</f>
        <v>20</v>
      </c>
      <c r="E35" s="123">
        <f>výpočet!M28</f>
        <v>0.1</v>
      </c>
      <c r="F35" s="122" t="str">
        <f>IF(výpočet!C28=0,"",výpočet!C28)</f>
        <v/>
      </c>
      <c r="G35" s="161" t="str">
        <f t="shared" si="0"/>
        <v/>
      </c>
    </row>
    <row r="36" spans="2:7" ht="15.95" customHeight="1" x14ac:dyDescent="0.25">
      <c r="B36" s="236" t="s">
        <v>6</v>
      </c>
      <c r="C36" s="237"/>
      <c r="D36" s="127">
        <f>výpočet!N29</f>
        <v>20</v>
      </c>
      <c r="E36" s="123">
        <f>výpočet!M29</f>
        <v>7.0000000000000007E-2</v>
      </c>
      <c r="F36" s="122" t="str">
        <f>IF(výpočet!C29=0,"",výpočet!C29)</f>
        <v/>
      </c>
      <c r="G36" s="161" t="str">
        <f t="shared" si="0"/>
        <v/>
      </c>
    </row>
    <row r="37" spans="2:7" ht="15.95" customHeight="1" x14ac:dyDescent="0.25">
      <c r="B37" s="236" t="s">
        <v>7</v>
      </c>
      <c r="C37" s="237"/>
      <c r="D37" s="127">
        <f>výpočet!N30</f>
        <v>20</v>
      </c>
      <c r="E37" s="123">
        <f>výpočet!M30</f>
        <v>0.15</v>
      </c>
      <c r="F37" s="122" t="str">
        <f>IF(výpočet!C30=0,"",výpočet!C30)</f>
        <v/>
      </c>
      <c r="G37" s="161" t="str">
        <f t="shared" si="0"/>
        <v/>
      </c>
    </row>
    <row r="38" spans="2:7" ht="15.95" customHeight="1" x14ac:dyDescent="0.25">
      <c r="B38" s="236" t="s">
        <v>8</v>
      </c>
      <c r="C38" s="237"/>
      <c r="D38" s="127">
        <f>výpočet!N31</f>
        <v>20</v>
      </c>
      <c r="E38" s="123">
        <f>výpočet!M31</f>
        <v>0.1</v>
      </c>
      <c r="F38" s="122" t="str">
        <f>IF(výpočet!C31=0,"",výpočet!C31)</f>
        <v/>
      </c>
      <c r="G38" s="161" t="str">
        <f t="shared" si="0"/>
        <v/>
      </c>
    </row>
    <row r="39" spans="2:7" ht="15.95" customHeight="1" x14ac:dyDescent="0.25">
      <c r="B39" s="236" t="s">
        <v>9</v>
      </c>
      <c r="C39" s="237"/>
      <c r="D39" s="127">
        <f>výpočet!N32</f>
        <v>5</v>
      </c>
      <c r="E39" s="123">
        <f>výpočet!M32</f>
        <v>0.15</v>
      </c>
      <c r="F39" s="122" t="str">
        <f>IF(výpočet!C32=0,"",výpočet!C32)</f>
        <v/>
      </c>
      <c r="G39" s="161" t="str">
        <f t="shared" si="0"/>
        <v/>
      </c>
    </row>
    <row r="40" spans="2:7" ht="15.95" customHeight="1" x14ac:dyDescent="0.25">
      <c r="B40" s="236" t="s">
        <v>10</v>
      </c>
      <c r="C40" s="237"/>
      <c r="D40" s="127">
        <f>výpočet!N33</f>
        <v>20</v>
      </c>
      <c r="E40" s="123">
        <f>výpočet!M33</f>
        <v>0.1</v>
      </c>
      <c r="F40" s="122" t="str">
        <f>IF(výpočet!C33=0,"",výpočet!C33)</f>
        <v/>
      </c>
      <c r="G40" s="161" t="str">
        <f t="shared" si="0"/>
        <v/>
      </c>
    </row>
    <row r="41" spans="2:7" ht="15.95" customHeight="1" x14ac:dyDescent="0.25">
      <c r="B41" s="236" t="s">
        <v>0</v>
      </c>
      <c r="C41" s="237"/>
      <c r="D41" s="127">
        <f>výpočet!N34</f>
        <v>5</v>
      </c>
      <c r="E41" s="123">
        <f>výpočet!M34</f>
        <v>0.3</v>
      </c>
      <c r="F41" s="122" t="str">
        <f>IF(výpočet!C34=0,"",výpočet!C34)</f>
        <v/>
      </c>
      <c r="G41" s="161" t="str">
        <f t="shared" si="0"/>
        <v/>
      </c>
    </row>
    <row r="42" spans="2:7" ht="15.95" customHeight="1" x14ac:dyDescent="0.25">
      <c r="B42" s="236" t="s">
        <v>1</v>
      </c>
      <c r="C42" s="237"/>
      <c r="D42" s="127">
        <f>výpočet!N35</f>
        <v>5</v>
      </c>
      <c r="E42" s="123">
        <f>výpočet!M35</f>
        <v>0.17</v>
      </c>
      <c r="F42" s="122" t="str">
        <f>IF(výpočet!C35=0,"",výpočet!C35)</f>
        <v/>
      </c>
      <c r="G42" s="161" t="str">
        <f t="shared" si="0"/>
        <v/>
      </c>
    </row>
    <row r="43" spans="2:7" ht="15.95" customHeight="1" x14ac:dyDescent="0.25">
      <c r="B43" s="236" t="s">
        <v>2</v>
      </c>
      <c r="C43" s="237"/>
      <c r="D43" s="127">
        <f>výpočet!N36</f>
        <v>5</v>
      </c>
      <c r="E43" s="123">
        <f>výpočet!M36</f>
        <v>0.13</v>
      </c>
      <c r="F43" s="122" t="str">
        <f>IF(výpočet!C36=0,"",výpočet!C36)</f>
        <v/>
      </c>
      <c r="G43" s="161" t="str">
        <f t="shared" si="0"/>
        <v/>
      </c>
    </row>
    <row r="44" spans="2:7" ht="15.95" customHeight="1" x14ac:dyDescent="0.25">
      <c r="B44" s="230" t="s">
        <v>59</v>
      </c>
      <c r="C44" s="231"/>
      <c r="D44" s="231"/>
      <c r="E44" s="231"/>
      <c r="F44" s="232"/>
      <c r="G44" s="162" t="str">
        <f>IF(E9="","",SUM(G28:G43))</f>
        <v/>
      </c>
    </row>
    <row r="45" spans="2:7" ht="10.7" customHeight="1" x14ac:dyDescent="0.25">
      <c r="B45" s="120"/>
      <c r="C45" s="120"/>
      <c r="D45" s="120"/>
      <c r="E45" s="120"/>
      <c r="F45" s="120"/>
      <c r="G45" s="120"/>
    </row>
    <row r="46" spans="2:7" ht="15.95" customHeight="1" x14ac:dyDescent="0.25">
      <c r="B46" s="235" t="s">
        <v>62</v>
      </c>
      <c r="C46" s="235"/>
      <c r="D46" s="235"/>
      <c r="E46" s="235"/>
      <c r="F46" s="235"/>
      <c r="G46" s="235"/>
    </row>
    <row r="47" spans="2:7" ht="31.35" customHeight="1" x14ac:dyDescent="0.25">
      <c r="B47" s="233" t="s">
        <v>63</v>
      </c>
      <c r="C47" s="233"/>
      <c r="D47" s="233"/>
      <c r="E47" s="167" t="s">
        <v>99</v>
      </c>
      <c r="F47" s="167" t="s">
        <v>121</v>
      </c>
      <c r="G47" s="167" t="s">
        <v>51</v>
      </c>
    </row>
    <row r="48" spans="2:7" ht="44.45" customHeight="1" x14ac:dyDescent="0.25">
      <c r="B48" s="234" t="s">
        <v>91</v>
      </c>
      <c r="C48" s="234"/>
      <c r="D48" s="234"/>
      <c r="E48" s="123">
        <f>výpočet!M40</f>
        <v>0.5</v>
      </c>
      <c r="F48" s="161" t="str">
        <f>IF(výpočet!C40=0,"",výpočet!C40)</f>
        <v/>
      </c>
      <c r="G48" s="161" t="str">
        <f>IF(F48="","",E48*F48)</f>
        <v/>
      </c>
    </row>
    <row r="49" spans="2:7" ht="27.6" customHeight="1" x14ac:dyDescent="0.25">
      <c r="B49" s="234" t="s">
        <v>100</v>
      </c>
      <c r="C49" s="234"/>
      <c r="D49" s="234"/>
      <c r="E49" s="123">
        <f>výpočet!M41</f>
        <v>0.1</v>
      </c>
      <c r="F49" s="161" t="str">
        <f>IF(výpočet!C41=0,"",výpočet!C41)</f>
        <v/>
      </c>
      <c r="G49" s="161" t="str">
        <f t="shared" ref="G49:G58" si="1">IF(F49="","",E49*F49)</f>
        <v/>
      </c>
    </row>
    <row r="50" spans="2:7" ht="15.95" customHeight="1" x14ac:dyDescent="0.25">
      <c r="B50" s="234" t="s">
        <v>81</v>
      </c>
      <c r="C50" s="234"/>
      <c r="D50" s="234"/>
      <c r="E50" s="123">
        <f>výpočet!M42</f>
        <v>0.25</v>
      </c>
      <c r="F50" s="161" t="str">
        <f>IF(výpočet!C42=0,"",výpočet!C42)</f>
        <v/>
      </c>
      <c r="G50" s="161" t="str">
        <f t="shared" si="1"/>
        <v/>
      </c>
    </row>
    <row r="51" spans="2:7" ht="15.95" customHeight="1" x14ac:dyDescent="0.25">
      <c r="B51" s="234" t="s">
        <v>16</v>
      </c>
      <c r="C51" s="234"/>
      <c r="D51" s="234"/>
      <c r="E51" s="123">
        <f>výpočet!M43</f>
        <v>0.2</v>
      </c>
      <c r="F51" s="161" t="str">
        <f>IF(výpočet!C43=0,"",výpočet!C43)</f>
        <v/>
      </c>
      <c r="G51" s="161" t="str">
        <f t="shared" si="1"/>
        <v/>
      </c>
    </row>
    <row r="52" spans="2:7" ht="15.95" customHeight="1" x14ac:dyDescent="0.25">
      <c r="B52" s="234" t="s">
        <v>82</v>
      </c>
      <c r="C52" s="234"/>
      <c r="D52" s="234"/>
      <c r="E52" s="123">
        <f>výpočet!M44</f>
        <v>0.2</v>
      </c>
      <c r="F52" s="161" t="str">
        <f>IF(výpočet!C44=0,"",výpočet!C44)</f>
        <v/>
      </c>
      <c r="G52" s="161" t="str">
        <f t="shared" si="1"/>
        <v/>
      </c>
    </row>
    <row r="53" spans="2:7" ht="15.95" customHeight="1" x14ac:dyDescent="0.25">
      <c r="B53" s="234" t="s">
        <v>83</v>
      </c>
      <c r="C53" s="234"/>
      <c r="D53" s="234"/>
      <c r="E53" s="123">
        <f>výpočet!M45</f>
        <v>0.35</v>
      </c>
      <c r="F53" s="161" t="str">
        <f>IF(výpočet!C45=0,"",výpočet!C45)</f>
        <v/>
      </c>
      <c r="G53" s="161" t="str">
        <f t="shared" si="1"/>
        <v/>
      </c>
    </row>
    <row r="54" spans="2:7" ht="15.95" customHeight="1" x14ac:dyDescent="0.25">
      <c r="B54" s="234" t="s">
        <v>17</v>
      </c>
      <c r="C54" s="234"/>
      <c r="D54" s="234"/>
      <c r="E54" s="123">
        <f>výpočet!M46</f>
        <v>0.2</v>
      </c>
      <c r="F54" s="161" t="str">
        <f>IF(výpočet!C46=0,"",výpočet!C46)</f>
        <v/>
      </c>
      <c r="G54" s="161" t="str">
        <f t="shared" si="1"/>
        <v/>
      </c>
    </row>
    <row r="55" spans="2:7" ht="15.95" customHeight="1" x14ac:dyDescent="0.25">
      <c r="B55" s="234" t="s">
        <v>84</v>
      </c>
      <c r="C55" s="234"/>
      <c r="D55" s="234"/>
      <c r="E55" s="123">
        <f>výpočet!M48</f>
        <v>0.45</v>
      </c>
      <c r="F55" s="161" t="str">
        <f>IF(výpočet!C48=0,"",výpočet!C48)</f>
        <v/>
      </c>
      <c r="G55" s="161" t="str">
        <f t="shared" si="1"/>
        <v/>
      </c>
    </row>
    <row r="56" spans="2:7" ht="15.95" customHeight="1" x14ac:dyDescent="0.25">
      <c r="B56" s="234" t="s">
        <v>85</v>
      </c>
      <c r="C56" s="234"/>
      <c r="D56" s="234"/>
      <c r="E56" s="123">
        <f>výpočet!M49</f>
        <v>0.1</v>
      </c>
      <c r="F56" s="161" t="str">
        <f>IF(výpočet!C47+výpočet!C49=0,"",výpočet!C47+výpočet!C49)</f>
        <v/>
      </c>
      <c r="G56" s="161" t="str">
        <f t="shared" si="1"/>
        <v/>
      </c>
    </row>
    <row r="57" spans="2:7" ht="15.95" customHeight="1" x14ac:dyDescent="0.25">
      <c r="B57" s="234" t="s">
        <v>26</v>
      </c>
      <c r="C57" s="234"/>
      <c r="D57" s="234"/>
      <c r="E57" s="123">
        <f>výpočet!M50</f>
        <v>0.2</v>
      </c>
      <c r="F57" s="161" t="str">
        <f>IF(výpočet!C50=0,"",výpočet!C50)</f>
        <v/>
      </c>
      <c r="G57" s="161" t="str">
        <f t="shared" si="1"/>
        <v/>
      </c>
    </row>
    <row r="58" spans="2:7" ht="15.95" customHeight="1" x14ac:dyDescent="0.25">
      <c r="B58" s="234" t="s">
        <v>64</v>
      </c>
      <c r="C58" s="234"/>
      <c r="D58" s="234"/>
      <c r="E58" s="123">
        <f>výpočet!M51</f>
        <v>0.2</v>
      </c>
      <c r="F58" s="161" t="str">
        <f>IF(výpočet!C51=0,"",výpočet!C51)</f>
        <v/>
      </c>
      <c r="G58" s="161" t="str">
        <f t="shared" si="1"/>
        <v/>
      </c>
    </row>
    <row r="59" spans="2:7" ht="15.95" customHeight="1" x14ac:dyDescent="0.25">
      <c r="B59" s="230" t="s">
        <v>59</v>
      </c>
      <c r="C59" s="231"/>
      <c r="D59" s="231"/>
      <c r="E59" s="231"/>
      <c r="F59" s="232"/>
      <c r="G59" s="162" t="str">
        <f>IF(E9="","",SUM(G48:G58))</f>
        <v/>
      </c>
    </row>
    <row r="60" spans="2:7" ht="10.35" customHeight="1" x14ac:dyDescent="0.25">
      <c r="B60" s="120"/>
      <c r="C60" s="120"/>
      <c r="D60" s="120"/>
      <c r="E60" s="120"/>
      <c r="F60" s="120"/>
      <c r="G60" s="120"/>
    </row>
    <row r="61" spans="2:7" ht="15.95" customHeight="1" x14ac:dyDescent="0.25">
      <c r="B61" s="235" t="s">
        <v>139</v>
      </c>
      <c r="C61" s="235"/>
      <c r="D61" s="235"/>
      <c r="E61" s="235"/>
      <c r="F61" s="235"/>
      <c r="G61" s="235"/>
    </row>
    <row r="62" spans="2:7" ht="42" customHeight="1" x14ac:dyDescent="0.25">
      <c r="B62" s="233" t="s">
        <v>65</v>
      </c>
      <c r="C62" s="233"/>
      <c r="D62" s="233"/>
      <c r="E62" s="233"/>
      <c r="F62" s="167" t="s">
        <v>51</v>
      </c>
      <c r="G62" s="187" t="s">
        <v>111</v>
      </c>
    </row>
    <row r="63" spans="2:7" ht="15.95" customHeight="1" x14ac:dyDescent="0.25">
      <c r="B63" s="234" t="s">
        <v>113</v>
      </c>
      <c r="C63" s="234"/>
      <c r="D63" s="234"/>
      <c r="E63" s="234"/>
      <c r="F63" s="161" t="str">
        <f>IF(E9="","",G44+G59)</f>
        <v/>
      </c>
      <c r="G63" s="167"/>
    </row>
    <row r="64" spans="2:7" ht="15.95" customHeight="1" x14ac:dyDescent="0.25">
      <c r="B64" s="234" t="s">
        <v>101</v>
      </c>
      <c r="C64" s="234"/>
      <c r="D64" s="234"/>
      <c r="E64" s="234"/>
      <c r="F64" s="161" t="str">
        <f>F24</f>
        <v/>
      </c>
      <c r="G64" s="167"/>
    </row>
    <row r="65" spans="2:7" ht="28.7" customHeight="1" x14ac:dyDescent="0.25">
      <c r="B65" s="248" t="s">
        <v>144</v>
      </c>
      <c r="C65" s="248"/>
      <c r="D65" s="248"/>
      <c r="E65" s="248"/>
      <c r="F65" s="163" t="str">
        <f>IF(E9="","",F63-F64)</f>
        <v/>
      </c>
      <c r="G65" s="145" t="str">
        <f>IF(E9="","",IF(F66="podmínka splněna","",výpočet!F8*-1))</f>
        <v/>
      </c>
    </row>
    <row r="66" spans="2:7" ht="14.45" customHeight="1" x14ac:dyDescent="0.25">
      <c r="F66" s="159" t="str">
        <f>výpočet!G9</f>
        <v/>
      </c>
    </row>
    <row r="67" spans="2:7" ht="14.1" customHeight="1" x14ac:dyDescent="0.25">
      <c r="B67" s="121" t="s">
        <v>150</v>
      </c>
    </row>
    <row r="68" spans="2:7" ht="13.35" customHeight="1" x14ac:dyDescent="0.25">
      <c r="B68" s="247" t="s">
        <v>141</v>
      </c>
      <c r="C68" s="247"/>
      <c r="D68" s="247"/>
      <c r="E68" s="247"/>
      <c r="F68" s="247"/>
      <c r="G68" s="247"/>
    </row>
    <row r="69" spans="2:7" ht="13.35" customHeight="1" x14ac:dyDescent="0.25">
      <c r="B69" s="247"/>
      <c r="C69" s="247"/>
      <c r="D69" s="247"/>
      <c r="E69" s="247"/>
      <c r="F69" s="247"/>
      <c r="G69" s="247"/>
    </row>
  </sheetData>
  <sheetProtection password="DEBF" sheet="1" formatCells="0" formatColumns="0" formatRows="0"/>
  <mergeCells count="75">
    <mergeCell ref="B69:G69"/>
    <mergeCell ref="B17:C17"/>
    <mergeCell ref="B18:C18"/>
    <mergeCell ref="B19:C19"/>
    <mergeCell ref="B20:C20"/>
    <mergeCell ref="B22:E22"/>
    <mergeCell ref="B23:E23"/>
    <mergeCell ref="B24:E24"/>
    <mergeCell ref="F20:G20"/>
    <mergeCell ref="F21:G21"/>
    <mergeCell ref="B40:C40"/>
    <mergeCell ref="B41:C41"/>
    <mergeCell ref="B42:C42"/>
    <mergeCell ref="B43:C43"/>
    <mergeCell ref="B26:G26"/>
    <mergeCell ref="F24:G24"/>
    <mergeCell ref="B68:G68"/>
    <mergeCell ref="B34:C34"/>
    <mergeCell ref="B35:C35"/>
    <mergeCell ref="B36:C36"/>
    <mergeCell ref="B14:E14"/>
    <mergeCell ref="B37:C37"/>
    <mergeCell ref="B38:C38"/>
    <mergeCell ref="B39:C39"/>
    <mergeCell ref="B27:C27"/>
    <mergeCell ref="B28:C28"/>
    <mergeCell ref="B29:C29"/>
    <mergeCell ref="B30:C30"/>
    <mergeCell ref="B65:E65"/>
    <mergeCell ref="B31:C31"/>
    <mergeCell ref="B32:C32"/>
    <mergeCell ref="B33:C33"/>
    <mergeCell ref="B1:G1"/>
    <mergeCell ref="F17:G17"/>
    <mergeCell ref="F18:G18"/>
    <mergeCell ref="F19:G19"/>
    <mergeCell ref="F8:G9"/>
    <mergeCell ref="F10:G10"/>
    <mergeCell ref="F11:G11"/>
    <mergeCell ref="F12:G12"/>
    <mergeCell ref="B3:G3"/>
    <mergeCell ref="B7:G7"/>
    <mergeCell ref="B16:G16"/>
    <mergeCell ref="B9:D9"/>
    <mergeCell ref="C4:G4"/>
    <mergeCell ref="C5:G5"/>
    <mergeCell ref="F13:G13"/>
    <mergeCell ref="F14:G14"/>
    <mergeCell ref="B8:D8"/>
    <mergeCell ref="B21:C21"/>
    <mergeCell ref="F22:G22"/>
    <mergeCell ref="F23:G23"/>
    <mergeCell ref="B63:E63"/>
    <mergeCell ref="B47:D47"/>
    <mergeCell ref="B48:D48"/>
    <mergeCell ref="B49:D49"/>
    <mergeCell ref="B50:D50"/>
    <mergeCell ref="B51:D51"/>
    <mergeCell ref="B52:D52"/>
    <mergeCell ref="B10:D10"/>
    <mergeCell ref="B11:D11"/>
    <mergeCell ref="B12:D12"/>
    <mergeCell ref="B13:E13"/>
    <mergeCell ref="B61:G61"/>
    <mergeCell ref="B44:F44"/>
    <mergeCell ref="B59:F59"/>
    <mergeCell ref="B62:E62"/>
    <mergeCell ref="B64:E64"/>
    <mergeCell ref="B46:G46"/>
    <mergeCell ref="B53:D53"/>
    <mergeCell ref="B54:D54"/>
    <mergeCell ref="B55:D55"/>
    <mergeCell ref="B56:D56"/>
    <mergeCell ref="B57:D57"/>
    <mergeCell ref="B58:D58"/>
  </mergeCells>
  <conditionalFormatting sqref="F66">
    <cfRule type="containsText" dxfId="0" priority="1" operator="containsText" text="požadavek splněn">
      <formula>NOT(ISERROR(SEARCH("požadavek splněn",F66)))</formula>
    </cfRule>
  </conditionalFormatting>
  <pageMargins left="0.62992125984251968" right="0.62992125984251968" top="0.74803149606299213" bottom="0.74803149606299213" header="0.31496062992125984" footer="0.31496062992125984"/>
  <pageSetup paperSize="9" fitToHeight="0" orientation="landscape" horizontalDpi="4294967292" verticalDpi="0" r:id="rId1"/>
  <rowBreaks count="2" manualBreakCount="2">
    <brk id="25" max="16383" man="1"/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110" zoomScaleNormal="110" workbookViewId="0">
      <selection activeCell="D14" sqref="D14"/>
    </sheetView>
  </sheetViews>
  <sheetFormatPr defaultRowHeight="15" x14ac:dyDescent="0.25"/>
  <cols>
    <col min="1" max="1" width="1.5703125" customWidth="1"/>
    <col min="2" max="2" width="9.42578125" customWidth="1"/>
    <col min="3" max="3" width="10.42578125" customWidth="1"/>
    <col min="4" max="4" width="9.140625" bestFit="1" customWidth="1"/>
    <col min="5" max="6" width="11.42578125" customWidth="1"/>
    <col min="7" max="9" width="13.5703125" customWidth="1"/>
    <col min="10" max="11" width="19.140625" customWidth="1"/>
  </cols>
  <sheetData>
    <row r="1" spans="1:13" ht="15.75" customHeight="1" x14ac:dyDescent="0.25">
      <c r="A1" s="12"/>
      <c r="B1" s="141" t="s">
        <v>136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8.4499999999999993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2.95" customHeight="1" x14ac:dyDescent="0.25">
      <c r="A3" s="12"/>
      <c r="B3" s="12" t="s">
        <v>149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5" customHeight="1" x14ac:dyDescent="0.25">
      <c r="A4" s="12"/>
      <c r="B4" s="273" t="s">
        <v>66</v>
      </c>
      <c r="C4" s="268" t="s">
        <v>67</v>
      </c>
      <c r="D4" s="268" t="s">
        <v>142</v>
      </c>
      <c r="E4" s="268" t="s">
        <v>68</v>
      </c>
      <c r="F4" s="268" t="s">
        <v>143</v>
      </c>
      <c r="G4" s="270" t="s">
        <v>70</v>
      </c>
      <c r="H4" s="271"/>
      <c r="I4" s="272"/>
      <c r="J4" s="268" t="s">
        <v>79</v>
      </c>
      <c r="K4" s="268" t="s">
        <v>71</v>
      </c>
      <c r="L4" s="12"/>
      <c r="M4" s="12"/>
    </row>
    <row r="5" spans="1:13" ht="34.5" customHeight="1" x14ac:dyDescent="0.25">
      <c r="A5" s="12"/>
      <c r="B5" s="274"/>
      <c r="C5" s="269"/>
      <c r="D5" s="269"/>
      <c r="E5" s="269"/>
      <c r="F5" s="269"/>
      <c r="G5" s="188" t="s">
        <v>72</v>
      </c>
      <c r="H5" s="188" t="s">
        <v>160</v>
      </c>
      <c r="I5" s="188" t="s">
        <v>73</v>
      </c>
      <c r="J5" s="269"/>
      <c r="K5" s="269"/>
      <c r="L5" s="12"/>
      <c r="M5" s="12"/>
    </row>
    <row r="6" spans="1:13" ht="14.1" customHeight="1" x14ac:dyDescent="0.25">
      <c r="A6" s="12"/>
      <c r="B6" s="128"/>
      <c r="C6" s="129"/>
      <c r="D6" s="131"/>
      <c r="E6" s="130"/>
      <c r="F6" s="131"/>
      <c r="G6" s="131"/>
      <c r="H6" s="131"/>
      <c r="I6" s="131"/>
      <c r="J6" s="132"/>
      <c r="K6" s="132"/>
      <c r="L6" s="12"/>
      <c r="M6" s="12"/>
    </row>
    <row r="7" spans="1:13" ht="14.1" customHeight="1" x14ac:dyDescent="0.25">
      <c r="A7" s="12"/>
      <c r="B7" s="128"/>
      <c r="C7" s="129"/>
      <c r="D7" s="131"/>
      <c r="E7" s="130"/>
      <c r="F7" s="131"/>
      <c r="G7" s="131"/>
      <c r="H7" s="131"/>
      <c r="I7" s="131"/>
      <c r="J7" s="132"/>
      <c r="K7" s="132"/>
      <c r="L7" s="12"/>
      <c r="M7" s="12"/>
    </row>
    <row r="8" spans="1:13" ht="14.1" customHeight="1" x14ac:dyDescent="0.25">
      <c r="A8" s="12"/>
      <c r="B8" s="128"/>
      <c r="C8" s="129"/>
      <c r="D8" s="131"/>
      <c r="E8" s="130"/>
      <c r="F8" s="131"/>
      <c r="G8" s="131"/>
      <c r="H8" s="131"/>
      <c r="I8" s="131"/>
      <c r="J8" s="132"/>
      <c r="K8" s="132"/>
      <c r="L8" s="12"/>
      <c r="M8" s="12"/>
    </row>
    <row r="9" spans="1:13" ht="14.1" customHeight="1" x14ac:dyDescent="0.25">
      <c r="A9" s="12"/>
      <c r="B9" s="128"/>
      <c r="C9" s="129"/>
      <c r="D9" s="131"/>
      <c r="E9" s="130"/>
      <c r="F9" s="131"/>
      <c r="G9" s="131"/>
      <c r="H9" s="131"/>
      <c r="I9" s="131"/>
      <c r="J9" s="132"/>
      <c r="K9" s="132"/>
      <c r="L9" s="12"/>
      <c r="M9" s="12"/>
    </row>
    <row r="10" spans="1:13" ht="14.1" customHeight="1" x14ac:dyDescent="0.25">
      <c r="A10" s="12"/>
      <c r="B10" s="128"/>
      <c r="C10" s="129"/>
      <c r="D10" s="131"/>
      <c r="E10" s="130"/>
      <c r="F10" s="131"/>
      <c r="G10" s="131"/>
      <c r="H10" s="131"/>
      <c r="I10" s="131"/>
      <c r="J10" s="132"/>
      <c r="K10" s="132"/>
      <c r="L10" s="12"/>
      <c r="M10" s="12"/>
    </row>
    <row r="11" spans="1:13" ht="14.1" customHeight="1" x14ac:dyDescent="0.25">
      <c r="A11" s="12"/>
      <c r="B11" s="128"/>
      <c r="C11" s="129"/>
      <c r="D11" s="131"/>
      <c r="E11" s="130"/>
      <c r="F11" s="131"/>
      <c r="G11" s="131"/>
      <c r="H11" s="131"/>
      <c r="I11" s="131"/>
      <c r="J11" s="132"/>
      <c r="K11" s="132"/>
      <c r="L11" s="12"/>
      <c r="M11" s="12"/>
    </row>
    <row r="12" spans="1:13" ht="14.1" customHeight="1" x14ac:dyDescent="0.25">
      <c r="A12" s="12"/>
      <c r="B12" s="128"/>
      <c r="C12" s="129"/>
      <c r="D12" s="131"/>
      <c r="E12" s="130"/>
      <c r="F12" s="131"/>
      <c r="G12" s="131"/>
      <c r="H12" s="131"/>
      <c r="I12" s="131"/>
      <c r="J12" s="132"/>
      <c r="K12" s="132"/>
      <c r="L12" s="12"/>
      <c r="M12" s="12"/>
    </row>
    <row r="13" spans="1:13" ht="14.1" customHeight="1" x14ac:dyDescent="0.25">
      <c r="A13" s="12"/>
      <c r="B13" s="128"/>
      <c r="C13" s="129"/>
      <c r="D13" s="131"/>
      <c r="E13" s="130"/>
      <c r="F13" s="131"/>
      <c r="G13" s="131"/>
      <c r="H13" s="131"/>
      <c r="I13" s="131"/>
      <c r="J13" s="132"/>
      <c r="K13" s="132"/>
      <c r="L13" s="12"/>
      <c r="M13" s="12"/>
    </row>
    <row r="14" spans="1:13" ht="14.1" customHeight="1" x14ac:dyDescent="0.25">
      <c r="A14" s="12"/>
      <c r="B14" s="128"/>
      <c r="C14" s="129"/>
      <c r="D14" s="131"/>
      <c r="E14" s="130"/>
      <c r="F14" s="131"/>
      <c r="G14" s="131"/>
      <c r="H14" s="131"/>
      <c r="I14" s="131"/>
      <c r="J14" s="132"/>
      <c r="K14" s="132"/>
      <c r="L14" s="12"/>
      <c r="M14" s="12"/>
    </row>
    <row r="15" spans="1:13" ht="14.1" customHeight="1" x14ac:dyDescent="0.25">
      <c r="A15" s="12"/>
      <c r="B15" s="128"/>
      <c r="C15" s="129"/>
      <c r="D15" s="131"/>
      <c r="E15" s="130"/>
      <c r="F15" s="131"/>
      <c r="G15" s="131"/>
      <c r="H15" s="131"/>
      <c r="I15" s="131"/>
      <c r="J15" s="132"/>
      <c r="K15" s="132"/>
      <c r="L15" s="12"/>
      <c r="M15" s="12"/>
    </row>
    <row r="16" spans="1:13" ht="14.1" customHeight="1" x14ac:dyDescent="0.25">
      <c r="A16" s="12"/>
      <c r="B16" s="128"/>
      <c r="C16" s="129"/>
      <c r="D16" s="131"/>
      <c r="E16" s="130"/>
      <c r="F16" s="131"/>
      <c r="G16" s="131"/>
      <c r="H16" s="131"/>
      <c r="I16" s="131"/>
      <c r="J16" s="132"/>
      <c r="K16" s="132"/>
      <c r="L16" s="12"/>
      <c r="M16" s="12"/>
    </row>
    <row r="17" spans="1:13" ht="14.1" customHeight="1" x14ac:dyDescent="0.25">
      <c r="A17" s="12"/>
      <c r="B17" s="128"/>
      <c r="C17" s="129"/>
      <c r="D17" s="131"/>
      <c r="E17" s="130"/>
      <c r="F17" s="131"/>
      <c r="G17" s="131"/>
      <c r="H17" s="131"/>
      <c r="I17" s="131"/>
      <c r="J17" s="132"/>
      <c r="K17" s="132"/>
      <c r="L17" s="12"/>
      <c r="M17" s="12"/>
    </row>
    <row r="18" spans="1:13" ht="14.1" customHeight="1" x14ac:dyDescent="0.25">
      <c r="A18" s="12"/>
      <c r="B18" s="128"/>
      <c r="C18" s="129"/>
      <c r="D18" s="131"/>
      <c r="E18" s="130"/>
      <c r="F18" s="131"/>
      <c r="G18" s="131"/>
      <c r="H18" s="131"/>
      <c r="I18" s="131"/>
      <c r="J18" s="132"/>
      <c r="K18" s="132"/>
      <c r="L18" s="12"/>
      <c r="M18" s="12"/>
    </row>
    <row r="19" spans="1:13" ht="14.1" customHeight="1" x14ac:dyDescent="0.25">
      <c r="A19" s="12"/>
      <c r="B19" s="128"/>
      <c r="C19" s="129"/>
      <c r="D19" s="131"/>
      <c r="E19" s="130"/>
      <c r="F19" s="131"/>
      <c r="G19" s="131"/>
      <c r="H19" s="131"/>
      <c r="I19" s="131"/>
      <c r="J19" s="132"/>
      <c r="K19" s="132"/>
      <c r="L19" s="12"/>
      <c r="M19" s="12"/>
    </row>
    <row r="20" spans="1:13" ht="14.1" customHeight="1" x14ac:dyDescent="0.25">
      <c r="A20" s="12"/>
      <c r="B20" s="128"/>
      <c r="C20" s="129"/>
      <c r="D20" s="131"/>
      <c r="E20" s="130"/>
      <c r="F20" s="131"/>
      <c r="G20" s="131"/>
      <c r="H20" s="131"/>
      <c r="I20" s="131"/>
      <c r="J20" s="132"/>
      <c r="K20" s="132"/>
      <c r="L20" s="12"/>
      <c r="M20" s="12"/>
    </row>
    <row r="21" spans="1:13" ht="14.1" customHeight="1" x14ac:dyDescent="0.25">
      <c r="A21" s="12"/>
      <c r="B21" s="128"/>
      <c r="C21" s="129"/>
      <c r="D21" s="131"/>
      <c r="E21" s="130"/>
      <c r="F21" s="131"/>
      <c r="G21" s="131"/>
      <c r="H21" s="131"/>
      <c r="I21" s="131"/>
      <c r="J21" s="132"/>
      <c r="K21" s="132"/>
      <c r="L21" s="12"/>
      <c r="M21" s="12"/>
    </row>
    <row r="22" spans="1:13" ht="14.1" customHeight="1" x14ac:dyDescent="0.25">
      <c r="A22" s="12"/>
      <c r="B22" s="128"/>
      <c r="C22" s="129"/>
      <c r="D22" s="131"/>
      <c r="E22" s="130"/>
      <c r="F22" s="131"/>
      <c r="G22" s="131"/>
      <c r="H22" s="131"/>
      <c r="I22" s="131"/>
      <c r="J22" s="132"/>
      <c r="K22" s="132"/>
      <c r="L22" s="12"/>
      <c r="M22" s="12"/>
    </row>
    <row r="23" spans="1:13" ht="14.1" customHeight="1" x14ac:dyDescent="0.25">
      <c r="A23" s="12"/>
      <c r="B23" s="128"/>
      <c r="C23" s="129"/>
      <c r="D23" s="131"/>
      <c r="E23" s="130"/>
      <c r="F23" s="131"/>
      <c r="G23" s="131"/>
      <c r="H23" s="131"/>
      <c r="I23" s="131"/>
      <c r="J23" s="132"/>
      <c r="K23" s="132"/>
      <c r="L23" s="12"/>
      <c r="M23" s="12"/>
    </row>
    <row r="24" spans="1:13" ht="14.1" customHeight="1" x14ac:dyDescent="0.25">
      <c r="A24" s="12"/>
      <c r="B24" s="128"/>
      <c r="C24" s="129"/>
      <c r="D24" s="131"/>
      <c r="E24" s="130"/>
      <c r="F24" s="131"/>
      <c r="G24" s="131"/>
      <c r="H24" s="131"/>
      <c r="I24" s="131"/>
      <c r="J24" s="132"/>
      <c r="K24" s="132"/>
      <c r="L24" s="12"/>
      <c r="M24" s="12"/>
    </row>
    <row r="25" spans="1:13" ht="14.1" customHeight="1" x14ac:dyDescent="0.25">
      <c r="A25" s="12"/>
      <c r="B25" s="128"/>
      <c r="C25" s="129"/>
      <c r="D25" s="131"/>
      <c r="E25" s="130"/>
      <c r="F25" s="131"/>
      <c r="G25" s="131"/>
      <c r="H25" s="131"/>
      <c r="I25" s="131"/>
      <c r="J25" s="132"/>
      <c r="K25" s="132"/>
      <c r="L25" s="12"/>
      <c r="M25" s="12"/>
    </row>
    <row r="26" spans="1:13" ht="14.1" customHeight="1" x14ac:dyDescent="0.25">
      <c r="A26" s="12"/>
      <c r="B26" s="128"/>
      <c r="C26" s="129"/>
      <c r="D26" s="131"/>
      <c r="E26" s="130"/>
      <c r="F26" s="131"/>
      <c r="G26" s="131"/>
      <c r="H26" s="131"/>
      <c r="I26" s="131"/>
      <c r="J26" s="132"/>
      <c r="K26" s="132"/>
      <c r="L26" s="12"/>
      <c r="M26" s="12"/>
    </row>
    <row r="27" spans="1:13" ht="14.1" customHeight="1" x14ac:dyDescent="0.25">
      <c r="A27" s="12"/>
      <c r="B27" s="128"/>
      <c r="C27" s="129"/>
      <c r="D27" s="131"/>
      <c r="E27" s="130"/>
      <c r="F27" s="131"/>
      <c r="G27" s="131"/>
      <c r="H27" s="131"/>
      <c r="I27" s="131"/>
      <c r="J27" s="132"/>
      <c r="K27" s="132"/>
      <c r="L27" s="12"/>
      <c r="M27" s="12"/>
    </row>
    <row r="28" spans="1:13" ht="14.1" customHeight="1" x14ac:dyDescent="0.25">
      <c r="A28" s="12"/>
      <c r="B28" s="265" t="s">
        <v>59</v>
      </c>
      <c r="C28" s="266"/>
      <c r="D28" s="266"/>
      <c r="E28" s="267"/>
      <c r="F28" s="133">
        <f>SUM(F6:F27)</f>
        <v>0</v>
      </c>
      <c r="G28" s="133">
        <f>SUM(G6:G27)</f>
        <v>0</v>
      </c>
      <c r="H28" s="133">
        <f>SUM(H6:H27)</f>
        <v>0</v>
      </c>
      <c r="I28" s="133">
        <f>SUM(I6:I27)</f>
        <v>0</v>
      </c>
      <c r="J28" s="134"/>
      <c r="K28" s="134"/>
      <c r="L28" s="12"/>
      <c r="M28" s="12"/>
    </row>
    <row r="29" spans="1:13" ht="7.7" customHeight="1" x14ac:dyDescent="0.25">
      <c r="A29" s="12"/>
      <c r="B29" s="135"/>
      <c r="C29" s="136"/>
      <c r="D29" s="136"/>
      <c r="E29" s="136"/>
      <c r="F29" s="137"/>
      <c r="G29" s="137"/>
      <c r="H29" s="137"/>
      <c r="I29" s="137"/>
      <c r="J29" s="134"/>
      <c r="K29" s="134"/>
      <c r="L29" s="12"/>
      <c r="M29" s="12"/>
    </row>
    <row r="30" spans="1:13" ht="12.95" customHeight="1" x14ac:dyDescent="0.25">
      <c r="A30" s="12"/>
      <c r="B30" s="179" t="s">
        <v>135</v>
      </c>
      <c r="C30" s="180"/>
      <c r="D30" s="180"/>
      <c r="E30" s="180"/>
      <c r="F30" s="181"/>
      <c r="G30" s="181"/>
      <c r="H30" s="181"/>
      <c r="I30" s="181"/>
      <c r="J30" s="138"/>
      <c r="K30" s="138"/>
      <c r="L30" s="12"/>
      <c r="M30" s="12"/>
    </row>
    <row r="31" spans="1:13" ht="33" customHeight="1" x14ac:dyDescent="0.25">
      <c r="A31" s="12"/>
      <c r="B31" s="262" t="s">
        <v>76</v>
      </c>
      <c r="C31" s="263"/>
      <c r="D31" s="263"/>
      <c r="E31" s="264"/>
      <c r="F31" s="164" t="s">
        <v>69</v>
      </c>
      <c r="G31" s="261" t="s">
        <v>78</v>
      </c>
      <c r="H31" s="261"/>
      <c r="I31" s="261"/>
      <c r="J31" s="138"/>
      <c r="K31" s="138"/>
      <c r="L31" s="12"/>
      <c r="M31" s="12"/>
    </row>
    <row r="32" spans="1:13" ht="15.75" customHeight="1" x14ac:dyDescent="0.25">
      <c r="A32" s="12"/>
      <c r="B32" s="254" t="s">
        <v>77</v>
      </c>
      <c r="C32" s="255"/>
      <c r="D32" s="255"/>
      <c r="E32" s="256"/>
      <c r="F32" s="165">
        <f>F28</f>
        <v>0</v>
      </c>
      <c r="G32" s="260">
        <f>G28+H28+I28</f>
        <v>0</v>
      </c>
      <c r="H32" s="260"/>
      <c r="I32" s="260"/>
      <c r="J32" s="138"/>
      <c r="K32" s="138"/>
      <c r="L32" s="12"/>
      <c r="M32" s="12"/>
    </row>
    <row r="33" spans="1:13" ht="15.75" customHeight="1" x14ac:dyDescent="0.25">
      <c r="A33" s="12"/>
      <c r="B33" s="254" t="s">
        <v>134</v>
      </c>
      <c r="C33" s="255"/>
      <c r="D33" s="255"/>
      <c r="E33" s="256"/>
      <c r="F33" s="165">
        <f>výpočet!C50</f>
        <v>0</v>
      </c>
      <c r="G33" s="260">
        <f>výpočet!C51</f>
        <v>0</v>
      </c>
      <c r="H33" s="260"/>
      <c r="I33" s="260"/>
      <c r="J33" s="139"/>
      <c r="K33" s="139"/>
      <c r="L33" s="12"/>
      <c r="M33" s="12"/>
    </row>
    <row r="34" spans="1:13" ht="15.75" customHeight="1" x14ac:dyDescent="0.25">
      <c r="A34" s="12"/>
      <c r="B34" s="257" t="s">
        <v>75</v>
      </c>
      <c r="C34" s="258"/>
      <c r="D34" s="258"/>
      <c r="E34" s="259"/>
      <c r="F34" s="166">
        <f>F32-F33</f>
        <v>0</v>
      </c>
      <c r="G34" s="253">
        <f>G32-G33</f>
        <v>0</v>
      </c>
      <c r="H34" s="253"/>
      <c r="I34" s="253"/>
      <c r="J34" s="150"/>
      <c r="K34" s="140"/>
      <c r="L34" s="12"/>
      <c r="M34" s="12"/>
    </row>
    <row r="35" spans="1:13" ht="16.7" customHeight="1" x14ac:dyDescent="0.25">
      <c r="A35" s="12"/>
      <c r="B35" s="252" t="str">
        <f>IF(F34&lt;0,"nesoulad výměry technologií s údaji v 1. listu",IF(F34=0,"","nesoulad výměry technologií s údaji v 1. listu"))</f>
        <v/>
      </c>
      <c r="C35" s="252"/>
      <c r="D35" s="252"/>
      <c r="E35" s="252"/>
      <c r="F35" s="252"/>
      <c r="G35" s="251" t="str">
        <f>IF(G34&lt;0,"nesoulad výměry technologií s údaji v 1. listu",IF(G34=0,"","nesoulad výměry technologií s údaji v 1. listu"))</f>
        <v/>
      </c>
      <c r="H35" s="251"/>
      <c r="I35" s="251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</sheetData>
  <sheetProtection password="DEBF" sheet="1" formatCells="0" formatColumns="0" formatRows="0" insertRows="0"/>
  <mergeCells count="19">
    <mergeCell ref="G31:I31"/>
    <mergeCell ref="B31:E31"/>
    <mergeCell ref="B28:E28"/>
    <mergeCell ref="J4:J5"/>
    <mergeCell ref="K4:K5"/>
    <mergeCell ref="G4:I4"/>
    <mergeCell ref="B4:B5"/>
    <mergeCell ref="C4:C5"/>
    <mergeCell ref="D4:D5"/>
    <mergeCell ref="E4:E5"/>
    <mergeCell ref="F4:F5"/>
    <mergeCell ref="G35:I35"/>
    <mergeCell ref="B35:F35"/>
    <mergeCell ref="G34:I34"/>
    <mergeCell ref="B32:E32"/>
    <mergeCell ref="B33:E33"/>
    <mergeCell ref="B34:E34"/>
    <mergeCell ref="G32:I32"/>
    <mergeCell ref="G33:I33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výpočet</vt:lpstr>
      <vt:lpstr>výpočet - k tisku</vt:lpstr>
      <vt:lpstr>DPB s POT</vt:lpstr>
      <vt:lpstr>'DPB s POT'!Oblast_tisku</vt:lpstr>
      <vt:lpstr>výpočet!Oblast_tisku</vt:lpstr>
      <vt:lpstr>'výpočet - k tisku'!Oblast_tisku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Klir</cp:lastModifiedBy>
  <cp:lastPrinted>2023-05-16T13:36:12Z</cp:lastPrinted>
  <dcterms:created xsi:type="dcterms:W3CDTF">2021-02-01T08:42:03Z</dcterms:created>
  <dcterms:modified xsi:type="dcterms:W3CDTF">2024-02-22T11:46:23Z</dcterms:modified>
</cp:coreProperties>
</file>